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 Ehrenhofer\Nextcloud2\"/>
    </mc:Choice>
  </mc:AlternateContent>
  <xr:revisionPtr revIDLastSave="0" documentId="13_ncr:1_{54026E28-FE44-41E8-960B-C03538A26D73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Inputs Revealed" sheetId="1" r:id="rId1"/>
    <sheet name="Fee &amp; Size" sheetId="2" state="hidden" r:id="rId2"/>
    <sheet name="Verification" sheetId="3" state="hidden" r:id="rId3"/>
    <sheet name="Summary" sheetId="4" r:id="rId4"/>
  </sheets>
  <definedNames>
    <definedName name="solver_adj" localSheetId="0" hidden="1">'Inputs Revealed'!$B$1</definedName>
    <definedName name="solver_adj" localSheetId="3" hidden="1">Summary!$A$5</definedName>
    <definedName name="solver_cvg" localSheetId="0" hidden="1">0.0001</definedName>
    <definedName name="solver_cvg" localSheetId="3" hidden="1">0.0001</definedName>
    <definedName name="solver_drv" localSheetId="0" hidden="1">1</definedName>
    <definedName name="solver_drv" localSheetId="3" hidden="1">1</definedName>
    <definedName name="solver_eng" localSheetId="0" hidden="1">1</definedName>
    <definedName name="solver_eng" localSheetId="3" hidden="1">1</definedName>
    <definedName name="solver_est" localSheetId="0" hidden="1">1</definedName>
    <definedName name="solver_est" localSheetId="3" hidden="1">1</definedName>
    <definedName name="solver_itr" localSheetId="0" hidden="1">2147483647</definedName>
    <definedName name="solver_itr" localSheetId="3" hidden="1">2147483647</definedName>
    <definedName name="solver_lhs1" localSheetId="0" hidden="1">'Inputs Revealed'!$B$1</definedName>
    <definedName name="solver_lhs1" localSheetId="3" hidden="1">Summary!$D$7</definedName>
    <definedName name="solver_lhs2" localSheetId="0" hidden="1">'Inputs Revealed'!$B$1</definedName>
    <definedName name="solver_lhs2" localSheetId="3" hidden="1">Summary!$A$2</definedName>
    <definedName name="solver_mip" localSheetId="0" hidden="1">2147483647</definedName>
    <definedName name="solver_mip" localSheetId="3" hidden="1">2147483647</definedName>
    <definedName name="solver_mni" localSheetId="0" hidden="1">30</definedName>
    <definedName name="solver_mni" localSheetId="3" hidden="1">30</definedName>
    <definedName name="solver_mrt" localSheetId="0" hidden="1">0.075</definedName>
    <definedName name="solver_mrt" localSheetId="3" hidden="1">0.075</definedName>
    <definedName name="solver_msl" localSheetId="0" hidden="1">2</definedName>
    <definedName name="solver_msl" localSheetId="3" hidden="1">2</definedName>
    <definedName name="solver_neg" localSheetId="0" hidden="1">1</definedName>
    <definedName name="solver_neg" localSheetId="3" hidden="1">1</definedName>
    <definedName name="solver_nod" localSheetId="0" hidden="1">2147483647</definedName>
    <definedName name="solver_nod" localSheetId="3" hidden="1">2147483647</definedName>
    <definedName name="solver_num" localSheetId="0" hidden="1">2</definedName>
    <definedName name="solver_num" localSheetId="3" hidden="1">1</definedName>
    <definedName name="solver_nwt" localSheetId="0" hidden="1">1</definedName>
    <definedName name="solver_nwt" localSheetId="3" hidden="1">1</definedName>
    <definedName name="solver_opt" localSheetId="0" hidden="1">'Inputs Revealed'!$I$24</definedName>
    <definedName name="solver_opt" localSheetId="3" hidden="1">Summary!$C$12</definedName>
    <definedName name="solver_pre" localSheetId="0" hidden="1">0.000001</definedName>
    <definedName name="solver_pre" localSheetId="3" hidden="1">0.000001</definedName>
    <definedName name="solver_rbv" localSheetId="0" hidden="1">1</definedName>
    <definedName name="solver_rbv" localSheetId="3" hidden="1">1</definedName>
    <definedName name="solver_rel1" localSheetId="0" hidden="1">4</definedName>
    <definedName name="solver_rel1" localSheetId="3" hidden="1">2</definedName>
    <definedName name="solver_rel2" localSheetId="0" hidden="1">3</definedName>
    <definedName name="solver_rel2" localSheetId="3" hidden="1">4</definedName>
    <definedName name="solver_rhs1" localSheetId="0" hidden="1">integer</definedName>
    <definedName name="solver_rhs1" localSheetId="3" hidden="1">31359</definedName>
    <definedName name="solver_rhs2" localSheetId="0" hidden="1">3</definedName>
    <definedName name="solver_rhs2" localSheetId="3" hidden="1">integer</definedName>
    <definedName name="solver_rlx" localSheetId="0" hidden="1">2</definedName>
    <definedName name="solver_rlx" localSheetId="3" hidden="1">2</definedName>
    <definedName name="solver_rsd" localSheetId="0" hidden="1">0</definedName>
    <definedName name="solver_rsd" localSheetId="3" hidden="1">0</definedName>
    <definedName name="solver_scl" localSheetId="0" hidden="1">1</definedName>
    <definedName name="solver_scl" localSheetId="3" hidden="1">1</definedName>
    <definedName name="solver_sho" localSheetId="0" hidden="1">2</definedName>
    <definedName name="solver_sho" localSheetId="3" hidden="1">2</definedName>
    <definedName name="solver_ssz" localSheetId="0" hidden="1">100</definedName>
    <definedName name="solver_ssz" localSheetId="3" hidden="1">100</definedName>
    <definedName name="solver_tim" localSheetId="0" hidden="1">2147483647</definedName>
    <definedName name="solver_tim" localSheetId="3" hidden="1">2147483647</definedName>
    <definedName name="solver_tol" localSheetId="0" hidden="1">0.01</definedName>
    <definedName name="solver_tol" localSheetId="3" hidden="1">0.01</definedName>
    <definedName name="solver_typ" localSheetId="0" hidden="1">1</definedName>
    <definedName name="solver_typ" localSheetId="3" hidden="1">3</definedName>
    <definedName name="solver_val" localSheetId="0" hidden="1">0</definedName>
    <definedName name="solver_val" localSheetId="3" hidden="1">8</definedName>
    <definedName name="solver_ver" localSheetId="0" hidden="1">3</definedName>
    <definedName name="solver_ver" localSheetId="3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4" l="1"/>
  <c r="D2" i="4" l="1"/>
  <c r="D7" i="4"/>
  <c r="C9" i="4"/>
  <c r="B17" i="1"/>
  <c r="C17" i="1" s="1"/>
  <c r="A22" i="4"/>
  <c r="B29" i="1"/>
  <c r="C29" i="1" s="1"/>
  <c r="B30" i="1"/>
  <c r="C30" i="1"/>
  <c r="D30" i="1" s="1"/>
  <c r="E30" i="1" s="1"/>
  <c r="F30" i="1" s="1"/>
  <c r="G30" i="1" s="1"/>
  <c r="H30" i="1" s="1"/>
  <c r="B31" i="1"/>
  <c r="I31" i="1" s="1"/>
  <c r="C31" i="1"/>
  <c r="D31" i="1" s="1"/>
  <c r="E31" i="1" s="1"/>
  <c r="F31" i="1" s="1"/>
  <c r="G31" i="1" s="1"/>
  <c r="H31" i="1" s="1"/>
  <c r="B32" i="1"/>
  <c r="C32" i="1"/>
  <c r="D32" i="1" s="1"/>
  <c r="B33" i="1"/>
  <c r="C33" i="1"/>
  <c r="D33" i="1" s="1"/>
  <c r="E33" i="1" s="1"/>
  <c r="F33" i="1" s="1"/>
  <c r="G33" i="1" s="1"/>
  <c r="H33" i="1" s="1"/>
  <c r="B34" i="1"/>
  <c r="C34" i="1" s="1"/>
  <c r="D34" i="1" s="1"/>
  <c r="E34" i="1" s="1"/>
  <c r="F34" i="1" s="1"/>
  <c r="G34" i="1" s="1"/>
  <c r="H34" i="1" s="1"/>
  <c r="B35" i="1"/>
  <c r="C35" i="1" s="1"/>
  <c r="D35" i="1" s="1"/>
  <c r="E35" i="1" s="1"/>
  <c r="F35" i="1" s="1"/>
  <c r="G35" i="1" s="1"/>
  <c r="H35" i="1" s="1"/>
  <c r="B36" i="1"/>
  <c r="C36" i="1" s="1"/>
  <c r="B37" i="1"/>
  <c r="B38" i="1"/>
  <c r="B39" i="1"/>
  <c r="C39" i="1"/>
  <c r="D39" i="1" s="1"/>
  <c r="B40" i="1"/>
  <c r="C40" i="1"/>
  <c r="B41" i="1"/>
  <c r="C41" i="1" s="1"/>
  <c r="B42" i="1"/>
  <c r="I42" i="1" s="1"/>
  <c r="C42" i="1"/>
  <c r="D42" i="1"/>
  <c r="E42" i="1" s="1"/>
  <c r="F42" i="1" s="1"/>
  <c r="G42" i="1" s="1"/>
  <c r="H42" i="1" s="1"/>
  <c r="B43" i="1"/>
  <c r="C43" i="1"/>
  <c r="B44" i="1"/>
  <c r="C44" i="1" s="1"/>
  <c r="B45" i="1"/>
  <c r="C45" i="1"/>
  <c r="D45" i="1" s="1"/>
  <c r="B46" i="1"/>
  <c r="I46" i="1" s="1"/>
  <c r="C46" i="1"/>
  <c r="B47" i="1"/>
  <c r="I47" i="1" s="1"/>
  <c r="C47" i="1"/>
  <c r="D47" i="1" s="1"/>
  <c r="E47" i="1" s="1"/>
  <c r="F47" i="1" s="1"/>
  <c r="G47" i="1" s="1"/>
  <c r="H47" i="1" s="1"/>
  <c r="B48" i="1"/>
  <c r="C48" i="1"/>
  <c r="D48" i="1"/>
  <c r="E48" i="1" s="1"/>
  <c r="B28" i="1"/>
  <c r="C28" i="1"/>
  <c r="D28" i="1"/>
  <c r="E28" i="1"/>
  <c r="F28" i="1" s="1"/>
  <c r="A31" i="4"/>
  <c r="A32" i="4" s="1"/>
  <c r="A33" i="4" s="1"/>
  <c r="A34" i="4" s="1"/>
  <c r="A35" i="4" s="1"/>
  <c r="A36" i="4" s="1"/>
  <c r="A70" i="4"/>
  <c r="A51" i="4" s="1"/>
  <c r="A54" i="4"/>
  <c r="A53" i="4"/>
  <c r="A46" i="4"/>
  <c r="A47" i="4"/>
  <c r="A49" i="4"/>
  <c r="A50" i="4"/>
  <c r="A37" i="4"/>
  <c r="A38" i="4" s="1"/>
  <c r="A39" i="4" s="1"/>
  <c r="A40" i="4" s="1"/>
  <c r="A41" i="4" s="1"/>
  <c r="A42" i="4" s="1"/>
  <c r="A23" i="4"/>
  <c r="A69" i="4"/>
  <c r="A68" i="4"/>
  <c r="A67" i="4"/>
  <c r="A66" i="4"/>
  <c r="A65" i="4"/>
  <c r="A64" i="4"/>
  <c r="A63" i="4"/>
  <c r="A62" i="4"/>
  <c r="A59" i="4"/>
  <c r="A61" i="4" s="1"/>
  <c r="A16" i="4" s="1"/>
  <c r="A60" i="4"/>
  <c r="A18" i="4"/>
  <c r="A10" i="3"/>
  <c r="A11" i="3"/>
  <c r="A15" i="3"/>
  <c r="J8" i="3"/>
  <c r="A18" i="3"/>
  <c r="A17" i="3"/>
  <c r="B3" i="1"/>
  <c r="C3" i="1" s="1"/>
  <c r="B5" i="1"/>
  <c r="C5" i="1" s="1"/>
  <c r="D5" i="1" s="1"/>
  <c r="B6" i="1"/>
  <c r="C6" i="1" s="1"/>
  <c r="D6" i="1" s="1"/>
  <c r="E6" i="1" s="1"/>
  <c r="F6" i="1" s="1"/>
  <c r="G6" i="1" s="1"/>
  <c r="H6" i="1" s="1"/>
  <c r="B7" i="1"/>
  <c r="C7" i="1" s="1"/>
  <c r="D7" i="1" s="1"/>
  <c r="E7" i="1" s="1"/>
  <c r="F7" i="1" s="1"/>
  <c r="G7" i="1" s="1"/>
  <c r="H7" i="1" s="1"/>
  <c r="B8" i="1"/>
  <c r="C8" i="1" s="1"/>
  <c r="D8" i="1" s="1"/>
  <c r="E8" i="1" s="1"/>
  <c r="F8" i="1" s="1"/>
  <c r="G8" i="1" s="1"/>
  <c r="H8" i="1" s="1"/>
  <c r="B9" i="1"/>
  <c r="C9" i="1" s="1"/>
  <c r="D9" i="1" s="1"/>
  <c r="E9" i="1" s="1"/>
  <c r="F9" i="1" s="1"/>
  <c r="G9" i="1" s="1"/>
  <c r="H9" i="1" s="1"/>
  <c r="B10" i="1"/>
  <c r="C10" i="1" s="1"/>
  <c r="B11" i="1"/>
  <c r="C11" i="1" s="1"/>
  <c r="D11" i="1" s="1"/>
  <c r="E11" i="1" s="1"/>
  <c r="F11" i="1" s="1"/>
  <c r="G11" i="1" s="1"/>
  <c r="H11" i="1" s="1"/>
  <c r="B12" i="1"/>
  <c r="C12" i="1" s="1"/>
  <c r="D12" i="1" s="1"/>
  <c r="E12" i="1" s="1"/>
  <c r="F12" i="1" s="1"/>
  <c r="G12" i="1" s="1"/>
  <c r="H12" i="1" s="1"/>
  <c r="B13" i="1"/>
  <c r="C13" i="1" s="1"/>
  <c r="D13" i="1" s="1"/>
  <c r="E13" i="1" s="1"/>
  <c r="F13" i="1" s="1"/>
  <c r="G13" i="1" s="1"/>
  <c r="H13" i="1" s="1"/>
  <c r="B14" i="1"/>
  <c r="C14" i="1" s="1"/>
  <c r="B15" i="1"/>
  <c r="C15" i="1" s="1"/>
  <c r="D15" i="1" s="1"/>
  <c r="E15" i="1" s="1"/>
  <c r="F15" i="1" s="1"/>
  <c r="G15" i="1" s="1"/>
  <c r="H15" i="1" s="1"/>
  <c r="B16" i="1"/>
  <c r="C16" i="1" s="1"/>
  <c r="D16" i="1" s="1"/>
  <c r="E16" i="1" s="1"/>
  <c r="F16" i="1" s="1"/>
  <c r="G16" i="1" s="1"/>
  <c r="H16" i="1" s="1"/>
  <c r="B18" i="1"/>
  <c r="C18" i="1" s="1"/>
  <c r="D18" i="1" s="1"/>
  <c r="E18" i="1" s="1"/>
  <c r="F18" i="1" s="1"/>
  <c r="G18" i="1" s="1"/>
  <c r="H18" i="1" s="1"/>
  <c r="B19" i="1"/>
  <c r="C19" i="1" s="1"/>
  <c r="D19" i="1" s="1"/>
  <c r="E19" i="1" s="1"/>
  <c r="F19" i="1" s="1"/>
  <c r="G19" i="1" s="1"/>
  <c r="H19" i="1" s="1"/>
  <c r="B20" i="1"/>
  <c r="C20" i="1" s="1"/>
  <c r="D20" i="1" s="1"/>
  <c r="B21" i="1"/>
  <c r="C21" i="1" s="1"/>
  <c r="D21" i="1" s="1"/>
  <c r="B22" i="1"/>
  <c r="C22" i="1" s="1"/>
  <c r="D22" i="1" s="1"/>
  <c r="E22" i="1" s="1"/>
  <c r="F22" i="1" s="1"/>
  <c r="G22" i="1" s="1"/>
  <c r="H22" i="1" s="1"/>
  <c r="B23" i="1"/>
  <c r="C23" i="1" s="1"/>
  <c r="D23" i="1" s="1"/>
  <c r="E23" i="1" s="1"/>
  <c r="F23" i="1" s="1"/>
  <c r="G23" i="1" s="1"/>
  <c r="H23" i="1" s="1"/>
  <c r="B4" i="1"/>
  <c r="C4" i="1" s="1"/>
  <c r="D4" i="1" s="1"/>
  <c r="E4" i="1" s="1"/>
  <c r="F4" i="1" s="1"/>
  <c r="G4" i="1" s="1"/>
  <c r="H4" i="1" s="1"/>
  <c r="A20" i="3"/>
  <c r="A25" i="3"/>
  <c r="C38" i="1"/>
  <c r="D38" i="1"/>
  <c r="E38" i="1"/>
  <c r="F38" i="1"/>
  <c r="G38" i="1"/>
  <c r="H38" i="1" s="1"/>
  <c r="A26" i="3"/>
  <c r="A21" i="3"/>
  <c r="J9" i="3"/>
  <c r="J10" i="3"/>
  <c r="A22" i="3"/>
  <c r="A23" i="3"/>
  <c r="D43" i="1"/>
  <c r="E43" i="1" s="1"/>
  <c r="F43" i="1" s="1"/>
  <c r="G43" i="1" s="1"/>
  <c r="H43" i="1" s="1"/>
  <c r="D40" i="1"/>
  <c r="I40" i="1" s="1"/>
  <c r="E40" i="1"/>
  <c r="F40" i="1" s="1"/>
  <c r="G40" i="1" s="1"/>
  <c r="H40" i="1" s="1"/>
  <c r="D46" i="1"/>
  <c r="E46" i="1" s="1"/>
  <c r="F46" i="1" s="1"/>
  <c r="G46" i="1" s="1"/>
  <c r="H46" i="1" s="1"/>
  <c r="A19" i="4" l="1"/>
  <c r="A24" i="4"/>
  <c r="D36" i="1"/>
  <c r="E36" i="1" s="1"/>
  <c r="F36" i="1" s="1"/>
  <c r="G36" i="1" s="1"/>
  <c r="H36" i="1" s="1"/>
  <c r="E45" i="1"/>
  <c r="F45" i="1" s="1"/>
  <c r="G45" i="1" s="1"/>
  <c r="H45" i="1" s="1"/>
  <c r="I48" i="1"/>
  <c r="F48" i="1"/>
  <c r="G48" i="1" s="1"/>
  <c r="H48" i="1" s="1"/>
  <c r="D29" i="1"/>
  <c r="D41" i="1"/>
  <c r="E41" i="1" s="1"/>
  <c r="F41" i="1" s="1"/>
  <c r="G41" i="1" s="1"/>
  <c r="H41" i="1" s="1"/>
  <c r="E39" i="1"/>
  <c r="F39" i="1" s="1"/>
  <c r="G39" i="1" s="1"/>
  <c r="H39" i="1" s="1"/>
  <c r="I39" i="1"/>
  <c r="I33" i="1"/>
  <c r="D44" i="1"/>
  <c r="E44" i="1" s="1"/>
  <c r="F44" i="1" s="1"/>
  <c r="G44" i="1" s="1"/>
  <c r="H44" i="1" s="1"/>
  <c r="E32" i="1"/>
  <c r="F32" i="1" s="1"/>
  <c r="G32" i="1" s="1"/>
  <c r="H32" i="1" s="1"/>
  <c r="G28" i="1"/>
  <c r="I38" i="1"/>
  <c r="I35" i="1"/>
  <c r="C37" i="1"/>
  <c r="D37" i="1" s="1"/>
  <c r="E37" i="1" s="1"/>
  <c r="F37" i="1" s="1"/>
  <c r="G37" i="1" s="1"/>
  <c r="H37" i="1" s="1"/>
  <c r="I43" i="1"/>
  <c r="I30" i="1"/>
  <c r="I34" i="1"/>
  <c r="A27" i="4"/>
  <c r="A11" i="4"/>
  <c r="A17" i="4"/>
  <c r="A26" i="4"/>
  <c r="A25" i="4"/>
  <c r="C37" i="4"/>
  <c r="A13" i="4" s="1"/>
  <c r="I15" i="1"/>
  <c r="I11" i="1"/>
  <c r="C24" i="1"/>
  <c r="D3" i="1"/>
  <c r="E20" i="1"/>
  <c r="F20" i="1" s="1"/>
  <c r="G20" i="1" s="1"/>
  <c r="H20" i="1" s="1"/>
  <c r="I20" i="1" s="1"/>
  <c r="D10" i="1"/>
  <c r="E10" i="1" s="1"/>
  <c r="F10" i="1" s="1"/>
  <c r="G10" i="1" s="1"/>
  <c r="H10" i="1" s="1"/>
  <c r="I19" i="1"/>
  <c r="D14" i="1"/>
  <c r="E14" i="1" s="1"/>
  <c r="F14" i="1" s="1"/>
  <c r="G14" i="1" s="1"/>
  <c r="H14" i="1" s="1"/>
  <c r="E21" i="1"/>
  <c r="F21" i="1" s="1"/>
  <c r="G21" i="1" s="1"/>
  <c r="H21" i="1" s="1"/>
  <c r="I23" i="1"/>
  <c r="I13" i="1"/>
  <c r="E5" i="1"/>
  <c r="F5" i="1" s="1"/>
  <c r="G5" i="1" s="1"/>
  <c r="H5" i="1" s="1"/>
  <c r="I18" i="1"/>
  <c r="D17" i="1"/>
  <c r="E17" i="1" s="1"/>
  <c r="F17" i="1" s="1"/>
  <c r="G17" i="1" s="1"/>
  <c r="H17" i="1" s="1"/>
  <c r="I7" i="1"/>
  <c r="I9" i="1"/>
  <c r="I16" i="1"/>
  <c r="I8" i="1"/>
  <c r="I4" i="1"/>
  <c r="I22" i="1"/>
  <c r="I12" i="1"/>
  <c r="I6" i="1"/>
  <c r="I36" i="1" l="1"/>
  <c r="I44" i="1"/>
  <c r="D49" i="1"/>
  <c r="E29" i="1"/>
  <c r="I32" i="1"/>
  <c r="I37" i="1"/>
  <c r="C49" i="1"/>
  <c r="H28" i="1"/>
  <c r="I45" i="1"/>
  <c r="I41" i="1"/>
  <c r="A12" i="4"/>
  <c r="C12" i="4" s="1"/>
  <c r="D12" i="4" s="1"/>
  <c r="I17" i="1"/>
  <c r="I10" i="1"/>
  <c r="E3" i="1"/>
  <c r="D24" i="1"/>
  <c r="I21" i="1"/>
  <c r="I14" i="1"/>
  <c r="I5" i="1"/>
  <c r="A15" i="4" l="1"/>
  <c r="I28" i="1"/>
  <c r="E49" i="1"/>
  <c r="F29" i="1"/>
  <c r="A14" i="4"/>
  <c r="C13" i="4"/>
  <c r="C15" i="4"/>
  <c r="D15" i="4" s="1"/>
  <c r="F3" i="1"/>
  <c r="E24" i="1"/>
  <c r="G29" i="1" l="1"/>
  <c r="F49" i="1"/>
  <c r="D13" i="4"/>
  <c r="C14" i="4"/>
  <c r="D14" i="4" s="1"/>
  <c r="G3" i="1"/>
  <c r="F24" i="1"/>
  <c r="I49" i="1" l="1"/>
  <c r="H29" i="1"/>
  <c r="H49" i="1" s="1"/>
  <c r="G49" i="1"/>
  <c r="G24" i="1"/>
  <c r="H3" i="1"/>
  <c r="I29" i="1" l="1"/>
  <c r="H24" i="1"/>
  <c r="I24" i="1" s="1"/>
  <c r="I3" i="1"/>
</calcChain>
</file>

<file path=xl/sharedStrings.xml><?xml version="1.0" encoding="utf-8"?>
<sst xmlns="http://schemas.openxmlformats.org/spreadsheetml/2006/main" count="116" uniqueCount="91">
  <si>
    <r>
      <t xml:space="preserve">Proportion of Inputs Compomised With Key Image Revelation </t>
    </r>
    <r>
      <rPr>
        <sz val="11"/>
        <color theme="4"/>
        <rFont val="Calibri"/>
        <family val="2"/>
        <scheme val="minor"/>
      </rPr>
      <t>(Blue)</t>
    </r>
  </si>
  <si>
    <t>ringsize (only works for &gt;2)</t>
  </si>
  <si>
    <t>True Input Revealed</t>
  </si>
  <si>
    <t>Level 1 Affect</t>
  </si>
  <si>
    <t>Level 2 Affect</t>
  </si>
  <si>
    <t>Level 3 Affect</t>
  </si>
  <si>
    <t>Level 4 Affect</t>
  </si>
  <si>
    <t>Level 5 Affect</t>
  </si>
  <si>
    <t>Level 6 Affect</t>
  </si>
  <si>
    <t>SUM</t>
  </si>
  <si>
    <t>Chain reaction impact:</t>
  </si>
  <si>
    <r>
      <t xml:space="preserve">Proportion of Inputs Compomised With Key Image Revelation </t>
    </r>
    <r>
      <rPr>
        <sz val="11"/>
        <color theme="5"/>
        <rFont val="Calibri"/>
        <family val="2"/>
        <scheme val="minor"/>
      </rPr>
      <t>(Orange)</t>
    </r>
  </si>
  <si>
    <t>Ringsize</t>
  </si>
  <si>
    <t>Fee</t>
  </si>
  <si>
    <t>Source: https://github.com/monero-project/monero/issues/1673#issuecomment-277566744</t>
  </si>
  <si>
    <t>Much better to use this code: https://github.com/monero-project/monero/issues/3035#issuecomment-366965018</t>
  </si>
  <si>
    <t>Base fee</t>
  </si>
  <si>
    <t>Fee per input</t>
  </si>
  <si>
    <t>Valid for MLSLAG based on knaccc's values</t>
  </si>
  <si>
    <t>Outputs</t>
  </si>
  <si>
    <t>Inputs</t>
  </si>
  <si>
    <t>Scalarmults per ring member</t>
  </si>
  <si>
    <t>Scalarmultbases per ring member</t>
  </si>
  <si>
    <t>Ringsize 5 verification time</t>
  </si>
  <si>
    <t>Current ringsize verification time</t>
  </si>
  <si>
    <t>Time per scalarmult (s)</t>
  </si>
  <si>
    <t>Percent change</t>
  </si>
  <si>
    <t>Time per scalarmultbase (s)</t>
  </si>
  <si>
    <t>Doublescalarmultbases per output</t>
  </si>
  <si>
    <t>Time per doublescalarmultbase (s)</t>
  </si>
  <si>
    <t>Ring member verification time per transaction (s)</t>
  </si>
  <si>
    <t>Output verification time per transaction (s)</t>
  </si>
  <si>
    <t>Total verification time per transaction (s)</t>
  </si>
  <si>
    <t>Total verification time per transaction (ms)</t>
  </si>
  <si>
    <t>Total verification time per 10k transactions (s)</t>
  </si>
  <si>
    <t>Total verification time per 10k transactions (m)</t>
  </si>
  <si>
    <t>Proportion from ring members</t>
  </si>
  <si>
    <t>Proportion from outputs</t>
  </si>
  <si>
    <t>TRANSACTION/NETWORK DETAILS</t>
  </si>
  <si>
    <t>Proportion Inputs Compromised</t>
  </si>
  <si>
    <t>Transactions per Day</t>
  </si>
  <si>
    <t>SINGLE TRANSACTION</t>
  </si>
  <si>
    <t>Extra Transactions Needed to Get Proportion</t>
  </si>
  <si>
    <t>Proportion Compromised</t>
  </si>
  <si>
    <t>Transaction Size (B)</t>
  </si>
  <si>
    <t>% Increase in Size &amp; Fees Over Compared</t>
  </si>
  <si>
    <t>Verification Time (ms)</t>
  </si>
  <si>
    <t>% Increase in Time Over Compared</t>
  </si>
  <si>
    <t>CHURNING</t>
  </si>
  <si>
    <t>Churns Needed for High Privacy</t>
  </si>
  <si>
    <t>Churns Needed for Maximum Privacy</t>
  </si>
  <si>
    <t>Time Saved for High Privacy (m)</t>
  </si>
  <si>
    <t>Time Saved for Maximum Privacy (m)</t>
  </si>
  <si>
    <t>% Size &amp; Fees Saved for High Privacy</t>
  </si>
  <si>
    <t>% Size &amp; Fees Saved for Maximum Privacy</t>
  </si>
  <si>
    <t>DATA</t>
  </si>
  <si>
    <t>PROPORTION COMPROMISED</t>
  </si>
  <si>
    <t>Initial (Tested Ringsize)</t>
  </si>
  <si>
    <t>First Chain Reaction</t>
  </si>
  <si>
    <t>Second</t>
  </si>
  <si>
    <t>Third</t>
  </si>
  <si>
    <t>Fourth</t>
  </si>
  <si>
    <t>Fifth</t>
  </si>
  <si>
    <t>Initial (Compared ringsize)</t>
  </si>
  <si>
    <t>VERIFICATION</t>
  </si>
  <si>
    <t>Compared Ringsize Verification Time (ms)</t>
  </si>
  <si>
    <t>Compared Ringsize Transaction Size (B)</t>
  </si>
  <si>
    <t>Churns Needed High Privacy Compared Ringsize</t>
  </si>
  <si>
    <t>Churns Needed Maximum Privacy Compared Ringsize</t>
  </si>
  <si>
    <t>High Privacy Anonymity Set</t>
  </si>
  <si>
    <t>Maximum Privacy Anonymity Set</t>
  </si>
  <si>
    <t>Wait Time per Transaction (m)</t>
  </si>
  <si>
    <t>SIZE</t>
  </si>
  <si>
    <t>inputOffsetsBytes</t>
  </si>
  <si>
    <t>tx version and unlock time=0</t>
  </si>
  <si>
    <t>type, amount=0, ringsize varint, input offsets, key image</t>
  </si>
  <si>
    <t>amount=0, type, output public key</t>
  </si>
  <si>
    <t>field lengths, txpubkey and sometimes an integrated address</t>
  </si>
  <si>
    <t>tx type and tx fee</t>
  </si>
  <si>
    <t>pseudoouts, only for rct type 2 (multiple input) transactions</t>
  </si>
  <si>
    <t>ecdhinfos</t>
  </si>
  <si>
    <t>outpks</t>
  </si>
  <si>
    <t>range proofs</t>
  </si>
  <si>
    <t>mlsags</t>
  </si>
  <si>
    <t>Transaction Size Compared Ringsize</t>
  </si>
  <si>
    <t>Rings Compromised per Day (Tested)</t>
  </si>
  <si>
    <t>Rings Compromised per Day (Compared)</t>
  </si>
  <si>
    <t>Fewer Rings Compromised</t>
  </si>
  <si>
    <t>% Reduction in Compromised Rings</t>
  </si>
  <si>
    <t>Ringsize (Tested, Larger of 2)</t>
  </si>
  <si>
    <t>Ringsize (Compared, Smaller of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</si>
</sst>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0.000000"/>
    <numFmt numFmtId="166" formatCode="0.0000"/>
    <numFmt numFmtId="167" formatCode="0.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1" applyNumberFormat="1" applyFont="1"/>
    <xf numFmtId="0" fontId="0" fillId="2" borderId="0" xfId="1" applyNumberFormat="1" applyFont="1" applyFill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2" borderId="6" xfId="1" applyNumberFormat="1" applyFont="1" applyFill="1" applyBorder="1"/>
    <xf numFmtId="0" fontId="0" fillId="0" borderId="7" xfId="0" applyBorder="1"/>
    <xf numFmtId="2" fontId="0" fillId="2" borderId="6" xfId="1" applyNumberFormat="1" applyFont="1" applyFill="1" applyBorder="1"/>
    <xf numFmtId="0" fontId="0" fillId="0" borderId="6" xfId="1" applyNumberFormat="1" applyFont="1" applyBorder="1"/>
    <xf numFmtId="2" fontId="0" fillId="0" borderId="6" xfId="1" applyNumberFormat="1" applyFont="1" applyBorder="1"/>
    <xf numFmtId="166" fontId="0" fillId="0" borderId="8" xfId="1" applyNumberFormat="1" applyFont="1" applyBorder="1"/>
    <xf numFmtId="0" fontId="0" fillId="0" borderId="9" xfId="0" applyBorder="1"/>
    <xf numFmtId="166" fontId="0" fillId="0" borderId="6" xfId="1" applyNumberFormat="1" applyFont="1" applyBorder="1"/>
    <xf numFmtId="1" fontId="0" fillId="0" borderId="6" xfId="1" applyNumberFormat="1" applyFont="1" applyBorder="1"/>
    <xf numFmtId="1" fontId="0" fillId="0" borderId="8" xfId="1" applyNumberFormat="1" applyFont="1" applyBorder="1"/>
    <xf numFmtId="2" fontId="0" fillId="0" borderId="8" xfId="1" applyNumberFormat="1" applyFont="1" applyBorder="1"/>
    <xf numFmtId="166" fontId="0" fillId="0" borderId="10" xfId="1" applyNumberFormat="1" applyFont="1" applyBorder="1"/>
    <xf numFmtId="0" fontId="0" fillId="0" borderId="11" xfId="0" applyBorder="1"/>
    <xf numFmtId="2" fontId="0" fillId="0" borderId="0" xfId="0" applyNumberFormat="1"/>
    <xf numFmtId="166" fontId="0" fillId="0" borderId="8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2" xfId="0" applyBorder="1"/>
    <xf numFmtId="0" fontId="6" fillId="0" borderId="0" xfId="0" applyFont="1"/>
    <xf numFmtId="14" fontId="6" fillId="0" borderId="0" xfId="0" applyNumberFormat="1" applyFont="1"/>
    <xf numFmtId="10" fontId="6" fillId="0" borderId="0" xfId="0" applyNumberFormat="1" applyFont="1"/>
    <xf numFmtId="2" fontId="6" fillId="0" borderId="0" xfId="0" applyNumberFormat="1" applyFont="1"/>
    <xf numFmtId="167" fontId="0" fillId="0" borderId="1" xfId="0" applyNumberFormat="1" applyBorder="1"/>
    <xf numFmtId="0" fontId="0" fillId="0" borderId="0" xfId="0" applyAlignment="1">
      <alignment horizontal="center"/>
    </xf>
    <xf numFmtId="43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1" applyNumberFormat="1" applyFont="1" applyBorder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Arbitrary Rings</a:t>
            </a:r>
            <a:r>
              <a:rPr lang="en-US" baseline="0"/>
              <a:t> Compromised for a Certain Proportion of Visible Outputs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'Inputs Revealed'!$A$28:$A$48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0.999</c:v>
                </c:pt>
              </c:numCache>
            </c:numRef>
          </c:cat>
          <c:val>
            <c:numRef>
              <c:f>'Inputs Revealed'!$I$3:$I$23</c:f>
              <c:numCache>
                <c:formatCode>General</c:formatCode>
                <c:ptCount val="21"/>
                <c:pt idx="0">
                  <c:v>0</c:v>
                </c:pt>
                <c:pt idx="1">
                  <c:v>6.1035156250000087E-19</c:v>
                </c:pt>
                <c:pt idx="2">
                  <c:v>1.0000000000000014E-14</c:v>
                </c:pt>
                <c:pt idx="3">
                  <c:v>2.9192926025390616E-12</c:v>
                </c:pt>
                <c:pt idx="4">
                  <c:v>1.6384000000000023E-10</c:v>
                </c:pt>
                <c:pt idx="5">
                  <c:v>3.7252902984619141E-9</c:v>
                </c:pt>
                <c:pt idx="6">
                  <c:v>4.7829689999999986E-8</c:v>
                </c:pt>
                <c:pt idx="7">
                  <c:v>4.1395451223693802E-7</c:v>
                </c:pt>
                <c:pt idx="8">
                  <c:v>2.6843545600000038E-6</c:v>
                </c:pt>
                <c:pt idx="9">
                  <c:v>1.3962886019873666E-5</c:v>
                </c:pt>
                <c:pt idx="10">
                  <c:v>6.103515625E-5</c:v>
                </c:pt>
                <c:pt idx="11">
                  <c:v>2.3178090428664636E-4</c:v>
                </c:pt>
                <c:pt idx="12">
                  <c:v>7.8364164095999977E-4</c:v>
                </c:pt>
                <c:pt idx="13">
                  <c:v>2.4031838291621653E-3</c:v>
                </c:pt>
                <c:pt idx="14">
                  <c:v>6.7822307284899925E-3</c:v>
                </c:pt>
                <c:pt idx="15">
                  <c:v>1.7817948013544083E-2</c:v>
                </c:pt>
                <c:pt idx="16">
                  <c:v>4.3980465111040062E-2</c:v>
                </c:pt>
                <c:pt idx="17">
                  <c:v>0.10276966953089745</c:v>
                </c:pt>
                <c:pt idx="18">
                  <c:v>0.22876792537892021</c:v>
                </c:pt>
                <c:pt idx="19">
                  <c:v>0.48769702726797548</c:v>
                </c:pt>
                <c:pt idx="20">
                  <c:v>0.99752318237049487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AF-41C6-8BC6-0913C4A417BA}"/>
            </c:ext>
          </c:extLst>
        </c:ser>
        <c:ser>
          <c:idx val="1"/>
          <c:order val="1"/>
          <c:tx>
            <c:v>Series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'Inputs Revealed'!$A$28:$A$48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0.999</c:v>
                </c:pt>
              </c:numCache>
            </c:numRef>
          </c:cat>
          <c:val>
            <c:numRef>
              <c:f>'Inputs Revealed'!$I$28:$I$48</c:f>
              <c:numCache>
                <c:formatCode>General</c:formatCode>
                <c:ptCount val="21"/>
                <c:pt idx="0">
                  <c:v>0</c:v>
                </c:pt>
                <c:pt idx="1">
                  <c:v>1.5258789062500026E-21</c:v>
                </c:pt>
                <c:pt idx="2">
                  <c:v>1.0000000000000017E-16</c:v>
                </c:pt>
                <c:pt idx="3">
                  <c:v>6.5684083557128882E-14</c:v>
                </c:pt>
                <c:pt idx="4">
                  <c:v>6.5536000000000112E-12</c:v>
                </c:pt>
                <c:pt idx="5">
                  <c:v>2.3283064365386963E-10</c:v>
                </c:pt>
                <c:pt idx="6">
                  <c:v>4.3046720999999984E-9</c:v>
                </c:pt>
                <c:pt idx="7">
                  <c:v>5.0709427749024904E-8</c:v>
                </c:pt>
                <c:pt idx="8">
                  <c:v>4.2949672960000073E-7</c:v>
                </c:pt>
                <c:pt idx="9">
                  <c:v>2.8274844190244178E-6</c:v>
                </c:pt>
                <c:pt idx="10">
                  <c:v>1.52587890625E-5</c:v>
                </c:pt>
                <c:pt idx="11">
                  <c:v>7.0113723546710527E-5</c:v>
                </c:pt>
                <c:pt idx="12">
                  <c:v>2.8211099074559989E-4</c:v>
                </c:pt>
                <c:pt idx="13">
                  <c:v>1.0153451678210149E-3</c:v>
                </c:pt>
                <c:pt idx="14">
                  <c:v>3.3232930569600961E-3</c:v>
                </c:pt>
                <c:pt idx="15">
                  <c:v>1.0022595757618546E-2</c:v>
                </c:pt>
                <c:pt idx="16">
                  <c:v>2.8147497671065648E-2</c:v>
                </c:pt>
                <c:pt idx="17">
                  <c:v>7.4251086236063898E-2</c:v>
                </c:pt>
                <c:pt idx="18">
                  <c:v>0.18530201888675851</c:v>
                </c:pt>
                <c:pt idx="19">
                  <c:v>0.44012777867670161</c:v>
                </c:pt>
                <c:pt idx="20">
                  <c:v>0.99641167383774043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B2-4A98-B472-68254618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908303"/>
        <c:axId val="989215039"/>
      </c:lineChart>
      <c:catAx>
        <c:axId val="10909083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"Weighted" </a:t>
                </a:r>
                <a:r>
                  <a:rPr lang="en-US" baseline="0"/>
                  <a:t>Visible Outputs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215039"/>
        <c:crosses val="autoZero"/>
        <c:auto val="1"/>
        <c:lblAlgn val="ctr"/>
        <c:lblOffset val="100"/>
        <c:tickMarkSkip val="5"/>
        <c:noMultiLvlLbl val="0"/>
      </c:catAx>
      <c:valAx>
        <c:axId val="989215039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Arbitrary Rings Compromised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908303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'Fee &amp; Size'!$B$1</c:f>
              <c:strCache>
                <c:ptCount val="1"/>
                <c:pt idx="0">
                  <c:v>Fee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658748906386699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'Fee &amp; Size'!$A$2:$A$4</c:f>
              <c:numCache>
                <c:formatCode>General</c:formatCode>
                <c:ptCount val="3"/>
                <c:pt idx="0">
                  <c:v>8</c:v>
                </c:pt>
                <c:pt idx="1">
                  <c:v>50</c:v>
                </c:pt>
                <c:pt idx="2">
                  <c:v>100</c:v>
                </c:pt>
              </c:numCache>
            </c:numRef>
          </c:xVal>
          <c:yVal>
            <c:numRef>
              <c:f>'Fee &amp; Size'!$B$2:$B$4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4.4999999999999998E-2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50-43F8-BCCC-71F024CD6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376031"/>
        <c:axId val="802778303"/>
      </c:scatterChart>
      <c:valAx>
        <c:axId val="64937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778303"/>
        <c:crosses val="autoZero"/>
        <c:crossBetween val="midCat"/>
      </c:valAx>
      <c:valAx>
        <c:axId val="80277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76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0</xdr:row>
      <xdr:rowOff>0</xdr:rowOff>
    </xdr:from>
    <xdr:to>
      <xdr:col>22</xdr:col>
      <xdr:colOff>11905</xdr:colOff>
      <xdr:row>20</xdr:row>
      <xdr:rowOff>75901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05AAD7-F577-4A89-91D8-9A546363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4</xdr:row>
      <xdr:rowOff>91016</xdr:rowOff>
    </xdr:from>
    <xdr:to>
      <xdr:col>7</xdr:col>
      <xdr:colOff>186266</xdr:colOff>
      <xdr:row>19</xdr:row>
      <xdr:rowOff>103716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4EAC57-559F-4C4E-9222-3E2664A48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zoomScale="80" zoomScaleNormal="80" workbookViewId="0">
      <selection activeCell="E26" sqref="E26"/>
    </sheetView>
  </sheetViews>
  <sheetFormatPr defaultRowHeight="15" x14ac:dyDescent="0.25"/>
  <cols>
    <col min="1" max="1" width="16.42578125" style="1" customWidth="1"/>
    <col min="2" max="2" width="18.42578125" style="4" bestFit="1" customWidth="1"/>
    <col min="3" max="4" width="11.7109375" bestFit="1" customWidth="1"/>
    <col min="5" max="8" width="11.28515625" bestFit="1" customWidth="1"/>
    <col min="9" max="9" width="10.7109375" bestFit="1" customWidth="1"/>
  </cols>
  <sheetData>
    <row r="1" spans="1:9" ht="59.1" customHeight="1" x14ac:dyDescent="0.25">
      <c r="A1" s="6" t="s">
        <v>0</v>
      </c>
      <c r="B1" s="8">
        <v>15</v>
      </c>
      <c r="C1" s="7" t="s">
        <v>1</v>
      </c>
    </row>
    <row r="2" spans="1:9" x14ac:dyDescent="0.25">
      <c r="A2" s="5"/>
      <c r="B2" s="3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</row>
    <row r="3" spans="1:9" x14ac:dyDescent="0.25">
      <c r="A3" s="2">
        <v>0</v>
      </c>
      <c r="B3" s="4">
        <f t="shared" ref="B3:B23" si="0">$A3^($B$1-1)</f>
        <v>0</v>
      </c>
      <c r="C3" s="4">
        <f>(B3^($B$1-1))*(1-B3)</f>
        <v>0</v>
      </c>
      <c r="D3" s="4">
        <f t="shared" ref="D3:H3" si="1">(C3^($B$1-1))*(1-C3)</f>
        <v>0</v>
      </c>
      <c r="E3" s="4">
        <f t="shared" si="1"/>
        <v>0</v>
      </c>
      <c r="F3" s="4">
        <f t="shared" si="1"/>
        <v>0</v>
      </c>
      <c r="G3" s="4">
        <f t="shared" si="1"/>
        <v>0</v>
      </c>
      <c r="H3" s="4">
        <f t="shared" si="1"/>
        <v>0</v>
      </c>
      <c r="I3" s="4">
        <f>SUM(B3:H3)</f>
        <v>0</v>
      </c>
    </row>
    <row r="4" spans="1:9" x14ac:dyDescent="0.25">
      <c r="A4" s="2">
        <v>0.05</v>
      </c>
      <c r="B4" s="4">
        <f t="shared" si="0"/>
        <v>6.1035156250000087E-19</v>
      </c>
      <c r="C4" s="4">
        <f>(B4^($B$1-1))*(1-B4)</f>
        <v>9.9568244445780295E-256</v>
      </c>
      <c r="D4" s="4">
        <f t="shared" ref="D4:H4" si="2">(C4^($B$1-1))*(1-C4)</f>
        <v>0</v>
      </c>
      <c r="E4" s="4">
        <f t="shared" si="2"/>
        <v>0</v>
      </c>
      <c r="F4" s="4">
        <f t="shared" si="2"/>
        <v>0</v>
      </c>
      <c r="G4" s="4">
        <f t="shared" si="2"/>
        <v>0</v>
      </c>
      <c r="H4" s="4">
        <f t="shared" si="2"/>
        <v>0</v>
      </c>
      <c r="I4" s="4">
        <f>SUM(B4:H4)</f>
        <v>6.1035156250000087E-19</v>
      </c>
    </row>
    <row r="5" spans="1:9" x14ac:dyDescent="0.25">
      <c r="A5" s="2">
        <v>0.1</v>
      </c>
      <c r="B5" s="4">
        <f t="shared" si="0"/>
        <v>1.0000000000000014E-14</v>
      </c>
      <c r="C5" s="4">
        <f t="shared" ref="C5:H22" si="3">(B5^($B$1-1))*(1-B5)</f>
        <v>1.0000000000000104E-196</v>
      </c>
      <c r="D5" s="4">
        <f t="shared" si="3"/>
        <v>0</v>
      </c>
      <c r="E5" s="4">
        <f t="shared" si="3"/>
        <v>0</v>
      </c>
      <c r="F5" s="4">
        <f t="shared" si="3"/>
        <v>0</v>
      </c>
      <c r="G5" s="4">
        <f t="shared" si="3"/>
        <v>0</v>
      </c>
      <c r="H5" s="4">
        <f t="shared" si="3"/>
        <v>0</v>
      </c>
      <c r="I5" s="4">
        <f t="shared" ref="I5:I23" si="4">SUM(B5:H5)</f>
        <v>1.0000000000000014E-14</v>
      </c>
    </row>
    <row r="6" spans="1:9" x14ac:dyDescent="0.25">
      <c r="A6" s="2">
        <v>0.15</v>
      </c>
      <c r="B6" s="4">
        <f t="shared" si="0"/>
        <v>2.9192926025390616E-12</v>
      </c>
      <c r="C6" s="4">
        <f t="shared" si="3"/>
        <v>3.2650269842634597E-162</v>
      </c>
      <c r="D6" s="4">
        <f t="shared" si="3"/>
        <v>0</v>
      </c>
      <c r="E6" s="4">
        <f t="shared" si="3"/>
        <v>0</v>
      </c>
      <c r="F6" s="4">
        <f t="shared" si="3"/>
        <v>0</v>
      </c>
      <c r="G6" s="4">
        <f t="shared" si="3"/>
        <v>0</v>
      </c>
      <c r="H6" s="4">
        <f t="shared" si="3"/>
        <v>0</v>
      </c>
      <c r="I6" s="4">
        <f t="shared" si="4"/>
        <v>2.9192926025390616E-12</v>
      </c>
    </row>
    <row r="7" spans="1:9" x14ac:dyDescent="0.25">
      <c r="A7" s="2">
        <v>0.2</v>
      </c>
      <c r="B7" s="4">
        <f t="shared" si="0"/>
        <v>1.6384000000000023E-10</v>
      </c>
      <c r="C7" s="4">
        <f t="shared" si="3"/>
        <v>1.0043362774973388E-137</v>
      </c>
      <c r="D7" s="4">
        <f t="shared" si="3"/>
        <v>0</v>
      </c>
      <c r="E7" s="4">
        <f t="shared" si="3"/>
        <v>0</v>
      </c>
      <c r="F7" s="4">
        <f t="shared" si="3"/>
        <v>0</v>
      </c>
      <c r="G7" s="4">
        <f t="shared" si="3"/>
        <v>0</v>
      </c>
      <c r="H7" s="4">
        <f t="shared" si="3"/>
        <v>0</v>
      </c>
      <c r="I7" s="4">
        <f t="shared" si="4"/>
        <v>1.6384000000000023E-10</v>
      </c>
    </row>
    <row r="8" spans="1:9" x14ac:dyDescent="0.25">
      <c r="A8" s="2">
        <v>0.25</v>
      </c>
      <c r="B8" s="4">
        <f t="shared" si="0"/>
        <v>3.7252902984619141E-9</v>
      </c>
      <c r="C8" s="4">
        <f t="shared" si="3"/>
        <v>9.9138352650823403E-119</v>
      </c>
      <c r="D8" s="4">
        <f t="shared" si="3"/>
        <v>0</v>
      </c>
      <c r="E8" s="4">
        <f t="shared" si="3"/>
        <v>0</v>
      </c>
      <c r="F8" s="4">
        <f t="shared" si="3"/>
        <v>0</v>
      </c>
      <c r="G8" s="4">
        <f t="shared" si="3"/>
        <v>0</v>
      </c>
      <c r="H8" s="4">
        <f t="shared" si="3"/>
        <v>0</v>
      </c>
      <c r="I8" s="4">
        <f t="shared" si="4"/>
        <v>3.7252902984619141E-9</v>
      </c>
    </row>
    <row r="9" spans="1:9" x14ac:dyDescent="0.25">
      <c r="A9" s="2">
        <v>0.3</v>
      </c>
      <c r="B9" s="4">
        <f t="shared" si="0"/>
        <v>4.7829689999999986E-8</v>
      </c>
      <c r="C9" s="4">
        <f t="shared" si="3"/>
        <v>3.279184891007889E-103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  <c r="I9" s="4">
        <f t="shared" si="4"/>
        <v>4.7829689999999986E-8</v>
      </c>
    </row>
    <row r="10" spans="1:9" x14ac:dyDescent="0.25">
      <c r="A10" s="2">
        <v>0.35</v>
      </c>
      <c r="B10" s="4">
        <f t="shared" si="0"/>
        <v>4.1395451223693802E-7</v>
      </c>
      <c r="C10" s="4">
        <f t="shared" si="3"/>
        <v>4.338469142603386E-90</v>
      </c>
      <c r="D10" s="4">
        <f t="shared" si="3"/>
        <v>0</v>
      </c>
      <c r="E10" s="4">
        <f t="shared" si="3"/>
        <v>0</v>
      </c>
      <c r="F10" s="4">
        <f t="shared" si="3"/>
        <v>0</v>
      </c>
      <c r="G10" s="4">
        <f t="shared" si="3"/>
        <v>0</v>
      </c>
      <c r="H10" s="4">
        <f t="shared" si="3"/>
        <v>0</v>
      </c>
      <c r="I10" s="4">
        <f t="shared" si="4"/>
        <v>4.1395451223693802E-7</v>
      </c>
    </row>
    <row r="11" spans="1:9" x14ac:dyDescent="0.25">
      <c r="A11" s="2">
        <v>0.4</v>
      </c>
      <c r="B11" s="4">
        <f t="shared" si="0"/>
        <v>2.6843545600000038E-6</v>
      </c>
      <c r="C11" s="4">
        <f t="shared" si="3"/>
        <v>1.0086886509424711E-78</v>
      </c>
      <c r="D11" s="4">
        <f t="shared" si="3"/>
        <v>0</v>
      </c>
      <c r="E11" s="4">
        <f t="shared" si="3"/>
        <v>0</v>
      </c>
      <c r="F11" s="4">
        <f t="shared" si="3"/>
        <v>0</v>
      </c>
      <c r="G11" s="4">
        <f t="shared" si="3"/>
        <v>0</v>
      </c>
      <c r="H11" s="4">
        <f t="shared" si="3"/>
        <v>0</v>
      </c>
      <c r="I11" s="4">
        <f t="shared" si="4"/>
        <v>2.6843545600000038E-6</v>
      </c>
    </row>
    <row r="12" spans="1:9" x14ac:dyDescent="0.25">
      <c r="A12" s="2">
        <v>0.45</v>
      </c>
      <c r="B12" s="4">
        <f t="shared" si="0"/>
        <v>1.3962886019873666E-5</v>
      </c>
      <c r="C12" s="4">
        <f t="shared" si="3"/>
        <v>1.0706478172234121E-68</v>
      </c>
      <c r="D12" s="4">
        <f t="shared" si="3"/>
        <v>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4"/>
        <v>1.3962886019873666E-5</v>
      </c>
    </row>
    <row r="13" spans="1:9" x14ac:dyDescent="0.25">
      <c r="A13" s="2">
        <v>0.5</v>
      </c>
      <c r="B13" s="4">
        <f t="shared" si="0"/>
        <v>6.103515625E-5</v>
      </c>
      <c r="C13" s="4">
        <f t="shared" si="3"/>
        <v>9.9562167282420981E-60</v>
      </c>
      <c r="D13" s="4">
        <f t="shared" si="3"/>
        <v>0</v>
      </c>
      <c r="E13" s="4">
        <f t="shared" si="3"/>
        <v>0</v>
      </c>
      <c r="F13" s="4">
        <f t="shared" si="3"/>
        <v>0</v>
      </c>
      <c r="G13" s="4">
        <f t="shared" si="3"/>
        <v>0</v>
      </c>
      <c r="H13" s="4">
        <f t="shared" si="3"/>
        <v>0</v>
      </c>
      <c r="I13" s="4">
        <f t="shared" si="4"/>
        <v>6.103515625E-5</v>
      </c>
    </row>
    <row r="14" spans="1:9" x14ac:dyDescent="0.25">
      <c r="A14" s="2">
        <v>0.55000000000000004</v>
      </c>
      <c r="B14" s="4">
        <f t="shared" si="0"/>
        <v>2.3178090428664636E-4</v>
      </c>
      <c r="C14" s="4">
        <f t="shared" si="3"/>
        <v>1.2911790417881527E-51</v>
      </c>
      <c r="D14" s="4">
        <f t="shared" si="3"/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4"/>
        <v>2.3178090428664636E-4</v>
      </c>
    </row>
    <row r="15" spans="1:9" x14ac:dyDescent="0.25">
      <c r="A15" s="2">
        <v>0.6</v>
      </c>
      <c r="B15" s="4">
        <f t="shared" si="0"/>
        <v>7.8364164095999977E-4</v>
      </c>
      <c r="C15" s="4">
        <f t="shared" si="3"/>
        <v>3.2908236558119956E-44</v>
      </c>
      <c r="D15" s="4">
        <f t="shared" si="3"/>
        <v>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4"/>
        <v>7.8364164095999977E-4</v>
      </c>
    </row>
    <row r="16" spans="1:9" x14ac:dyDescent="0.25">
      <c r="A16" s="2">
        <v>0.65</v>
      </c>
      <c r="B16" s="4">
        <f t="shared" si="0"/>
        <v>2.4031838291621653E-3</v>
      </c>
      <c r="C16" s="4">
        <f t="shared" si="3"/>
        <v>2.1378289624496195E-37</v>
      </c>
      <c r="D16" s="4">
        <f t="shared" si="3"/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4"/>
        <v>2.4031838291621653E-3</v>
      </c>
    </row>
    <row r="17" spans="1:9" x14ac:dyDescent="0.25">
      <c r="A17" s="2">
        <v>0.7</v>
      </c>
      <c r="B17" s="41">
        <f>$A17^($B$1-1)</f>
        <v>6.7822307284899925E-3</v>
      </c>
      <c r="C17" s="4">
        <f>(B17^($B$1-1))*(1-B17)</f>
        <v>4.3277316493870682E-31</v>
      </c>
      <c r="D17" s="4">
        <f t="shared" si="3"/>
        <v>0</v>
      </c>
      <c r="E17" s="4">
        <f t="shared" si="3"/>
        <v>0</v>
      </c>
      <c r="F17" s="4">
        <f t="shared" si="3"/>
        <v>0</v>
      </c>
      <c r="G17" s="4">
        <f t="shared" si="3"/>
        <v>0</v>
      </c>
      <c r="H17" s="4">
        <f t="shared" si="3"/>
        <v>0</v>
      </c>
      <c r="I17" s="4">
        <f t="shared" si="4"/>
        <v>6.7822307284899925E-3</v>
      </c>
    </row>
    <row r="18" spans="1:9" x14ac:dyDescent="0.25">
      <c r="A18" s="2">
        <v>0.75</v>
      </c>
      <c r="B18" s="4">
        <f t="shared" si="0"/>
        <v>1.7817948013544083E-2</v>
      </c>
      <c r="C18" s="4">
        <f t="shared" si="3"/>
        <v>3.1930051463142143E-25</v>
      </c>
      <c r="D18" s="4">
        <f t="shared" si="3"/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4"/>
        <v>1.7817948013544083E-2</v>
      </c>
    </row>
    <row r="19" spans="1:9" x14ac:dyDescent="0.25">
      <c r="A19" s="2">
        <v>0.8</v>
      </c>
      <c r="B19" s="4">
        <f t="shared" si="0"/>
        <v>4.3980465111040062E-2</v>
      </c>
      <c r="C19" s="4">
        <f t="shared" si="3"/>
        <v>9.6851024027738915E-20</v>
      </c>
      <c r="D19" s="4">
        <f t="shared" si="3"/>
        <v>6.389384702378253E-267</v>
      </c>
      <c r="E19" s="4">
        <f t="shared" si="3"/>
        <v>0</v>
      </c>
      <c r="F19" s="4">
        <f t="shared" si="3"/>
        <v>0</v>
      </c>
      <c r="G19" s="4">
        <f t="shared" si="3"/>
        <v>0</v>
      </c>
      <c r="H19" s="4">
        <f t="shared" si="3"/>
        <v>0</v>
      </c>
      <c r="I19" s="4">
        <f t="shared" si="4"/>
        <v>4.3980465111040062E-2</v>
      </c>
    </row>
    <row r="20" spans="1:9" x14ac:dyDescent="0.25">
      <c r="A20" s="2">
        <v>0.85</v>
      </c>
      <c r="B20" s="4">
        <f t="shared" si="0"/>
        <v>0.10276966953088429</v>
      </c>
      <c r="C20" s="4">
        <f t="shared" si="3"/>
        <v>1.3152653720886686E-14</v>
      </c>
      <c r="D20" s="4">
        <f t="shared" si="3"/>
        <v>4.6364695091069205E-195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4"/>
        <v>0.10276966953089745</v>
      </c>
    </row>
    <row r="21" spans="1:9" x14ac:dyDescent="0.25">
      <c r="A21" s="2">
        <v>0.9</v>
      </c>
      <c r="B21" s="4">
        <f t="shared" si="0"/>
        <v>0.22876792454961015</v>
      </c>
      <c r="C21" s="4">
        <f t="shared" si="3"/>
        <v>8.2931005996570433E-10</v>
      </c>
      <c r="D21" s="4">
        <f t="shared" si="3"/>
        <v>7.2784192902859001E-128</v>
      </c>
      <c r="E21" s="4">
        <f t="shared" si="3"/>
        <v>0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4"/>
        <v>0.22876792537892021</v>
      </c>
    </row>
    <row r="22" spans="1:9" x14ac:dyDescent="0.25">
      <c r="A22" s="2">
        <v>0.95</v>
      </c>
      <c r="B22" s="4">
        <f t="shared" si="0"/>
        <v>0.48767497911552976</v>
      </c>
      <c r="C22" s="4">
        <f t="shared" si="3"/>
        <v>2.204815244571499E-5</v>
      </c>
      <c r="D22" s="4">
        <f t="shared" si="3"/>
        <v>6.4150680420659211E-66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  <c r="I22" s="4">
        <f t="shared" si="4"/>
        <v>0.48769702726797548</v>
      </c>
    </row>
    <row r="23" spans="1:9" x14ac:dyDescent="0.25">
      <c r="A23" s="35">
        <v>0.999</v>
      </c>
      <c r="B23" s="36">
        <f t="shared" si="0"/>
        <v>0.98609063699900112</v>
      </c>
      <c r="C23" s="36">
        <f>(B23^($B$1-1))*(1-B23)</f>
        <v>1.1432545371493691E-2</v>
      </c>
      <c r="D23" s="36">
        <f t="shared" ref="D23:H23" si="5">(C23^($B$1-1))*(1-C23)</f>
        <v>6.441802107553794E-28</v>
      </c>
      <c r="E23" s="36">
        <f t="shared" si="5"/>
        <v>0</v>
      </c>
      <c r="F23" s="36">
        <f t="shared" si="5"/>
        <v>0</v>
      </c>
      <c r="G23" s="36">
        <f t="shared" si="5"/>
        <v>0</v>
      </c>
      <c r="H23" s="36">
        <f t="shared" si="5"/>
        <v>0</v>
      </c>
      <c r="I23" s="36">
        <f t="shared" si="4"/>
        <v>0.99752318237049487</v>
      </c>
    </row>
    <row r="24" spans="1:9" x14ac:dyDescent="0.25">
      <c r="A24" s="2"/>
      <c r="B24" s="34" t="s">
        <v>10</v>
      </c>
      <c r="C24" s="4">
        <f>SUM(C3:C23)</f>
        <v>1.1454594353262619E-2</v>
      </c>
      <c r="D24" s="4">
        <f t="shared" ref="D24:H24" si="6">SUM(D3:D23)</f>
        <v>6.441802107553794E-28</v>
      </c>
      <c r="E24" s="4">
        <f t="shared" si="6"/>
        <v>0</v>
      </c>
      <c r="F24" s="4">
        <f t="shared" si="6"/>
        <v>0</v>
      </c>
      <c r="G24" s="4">
        <f t="shared" si="6"/>
        <v>0</v>
      </c>
      <c r="H24" s="4">
        <f t="shared" si="6"/>
        <v>0</v>
      </c>
      <c r="I24">
        <f>SUM(C24:H24)</f>
        <v>1.1454594353262619E-2</v>
      </c>
    </row>
    <row r="25" spans="1:9" x14ac:dyDescent="0.25">
      <c r="A25" s="2"/>
      <c r="B25" s="34"/>
    </row>
    <row r="26" spans="1:9" ht="90" x14ac:dyDescent="0.25">
      <c r="A26" s="6" t="s">
        <v>11</v>
      </c>
      <c r="B26" s="8">
        <v>17</v>
      </c>
      <c r="C26" s="7" t="s">
        <v>1</v>
      </c>
    </row>
    <row r="27" spans="1:9" x14ac:dyDescent="0.25">
      <c r="A27" s="5"/>
      <c r="B27" s="3" t="s">
        <v>2</v>
      </c>
      <c r="C27" s="42" t="s">
        <v>3</v>
      </c>
      <c r="D27" s="42" t="s">
        <v>4</v>
      </c>
      <c r="E27" s="42" t="s">
        <v>5</v>
      </c>
      <c r="F27" s="42" t="s">
        <v>6</v>
      </c>
      <c r="G27" s="42" t="s">
        <v>7</v>
      </c>
      <c r="H27" s="42" t="s">
        <v>8</v>
      </c>
      <c r="I27" s="42" t="s">
        <v>9</v>
      </c>
    </row>
    <row r="28" spans="1:9" x14ac:dyDescent="0.25">
      <c r="A28" s="2">
        <v>0</v>
      </c>
      <c r="B28" s="4">
        <f>$A28^($B$26-1)</f>
        <v>0</v>
      </c>
      <c r="C28" s="4">
        <f t="shared" ref="C28:H28" si="7">(B28^($B$26-1))*(1-B28)</f>
        <v>0</v>
      </c>
      <c r="D28" s="4">
        <f t="shared" si="7"/>
        <v>0</v>
      </c>
      <c r="E28" s="4">
        <f t="shared" si="7"/>
        <v>0</v>
      </c>
      <c r="F28" s="4">
        <f t="shared" si="7"/>
        <v>0</v>
      </c>
      <c r="G28" s="4">
        <f t="shared" si="7"/>
        <v>0</v>
      </c>
      <c r="H28" s="4">
        <f t="shared" si="7"/>
        <v>0</v>
      </c>
      <c r="I28" s="4">
        <f>SUM(B28:H28)</f>
        <v>0</v>
      </c>
    </row>
    <row r="29" spans="1:9" x14ac:dyDescent="0.25">
      <c r="A29" s="2">
        <v>0.05</v>
      </c>
      <c r="B29" s="4">
        <f t="shared" ref="B29:B48" si="8">$A29^($B$26-1)</f>
        <v>1.5258789062500026E-21</v>
      </c>
      <c r="C29" s="4">
        <f t="shared" ref="C29:H48" si="9">(B29^($B$26-1))*(1-B29)</f>
        <v>0</v>
      </c>
      <c r="D29" s="4">
        <f t="shared" si="9"/>
        <v>0</v>
      </c>
      <c r="E29" s="4">
        <f t="shared" si="9"/>
        <v>0</v>
      </c>
      <c r="F29" s="4">
        <f t="shared" si="9"/>
        <v>0</v>
      </c>
      <c r="G29" s="4">
        <f t="shared" si="9"/>
        <v>0</v>
      </c>
      <c r="H29" s="4">
        <f t="shared" si="9"/>
        <v>0</v>
      </c>
      <c r="I29" s="4">
        <f>SUM(B29:H29)</f>
        <v>1.5258789062500026E-21</v>
      </c>
    </row>
    <row r="30" spans="1:9" x14ac:dyDescent="0.25">
      <c r="A30" s="2">
        <v>0.1</v>
      </c>
      <c r="B30" s="4">
        <f t="shared" si="8"/>
        <v>1.0000000000000017E-16</v>
      </c>
      <c r="C30" s="4">
        <f t="shared" si="9"/>
        <v>1.0000000000000273E-256</v>
      </c>
      <c r="D30" s="4">
        <f t="shared" si="9"/>
        <v>0</v>
      </c>
      <c r="E30" s="4">
        <f t="shared" si="9"/>
        <v>0</v>
      </c>
      <c r="F30" s="4">
        <f t="shared" si="9"/>
        <v>0</v>
      </c>
      <c r="G30" s="4">
        <f t="shared" si="9"/>
        <v>0</v>
      </c>
      <c r="H30" s="4">
        <f t="shared" si="9"/>
        <v>0</v>
      </c>
      <c r="I30" s="4">
        <f t="shared" ref="I30:I48" si="10">SUM(B30:H30)</f>
        <v>1.0000000000000017E-16</v>
      </c>
    </row>
    <row r="31" spans="1:9" x14ac:dyDescent="0.25">
      <c r="A31" s="2">
        <v>0.15</v>
      </c>
      <c r="B31" s="4">
        <f t="shared" si="8"/>
        <v>6.5684083557128882E-14</v>
      </c>
      <c r="C31" s="4">
        <f t="shared" si="9"/>
        <v>1.2005004253117542E-211</v>
      </c>
      <c r="D31" s="4">
        <f t="shared" si="9"/>
        <v>0</v>
      </c>
      <c r="E31" s="4">
        <f t="shared" si="9"/>
        <v>0</v>
      </c>
      <c r="F31" s="4">
        <f t="shared" si="9"/>
        <v>0</v>
      </c>
      <c r="G31" s="4">
        <f t="shared" si="9"/>
        <v>0</v>
      </c>
      <c r="H31" s="4">
        <f t="shared" si="9"/>
        <v>0</v>
      </c>
      <c r="I31" s="4">
        <f t="shared" si="10"/>
        <v>6.5684083557128882E-14</v>
      </c>
    </row>
    <row r="32" spans="1:9" x14ac:dyDescent="0.25">
      <c r="A32" s="2">
        <v>0.2</v>
      </c>
      <c r="B32" s="4">
        <f t="shared" si="8"/>
        <v>6.5536000000000112E-12</v>
      </c>
      <c r="C32" s="4">
        <f t="shared" si="9"/>
        <v>1.1579208923656052E-179</v>
      </c>
      <c r="D32" s="4">
        <f t="shared" si="9"/>
        <v>0</v>
      </c>
      <c r="E32" s="4">
        <f t="shared" si="9"/>
        <v>0</v>
      </c>
      <c r="F32" s="4">
        <f t="shared" si="9"/>
        <v>0</v>
      </c>
      <c r="G32" s="4">
        <f t="shared" si="9"/>
        <v>0</v>
      </c>
      <c r="H32" s="4">
        <f t="shared" si="9"/>
        <v>0</v>
      </c>
      <c r="I32" s="4">
        <f t="shared" si="10"/>
        <v>6.5536000000000112E-12</v>
      </c>
    </row>
    <row r="33" spans="1:9" x14ac:dyDescent="0.25">
      <c r="A33" s="2">
        <v>0.25</v>
      </c>
      <c r="B33" s="4">
        <f t="shared" si="8"/>
        <v>2.3283064365386963E-10</v>
      </c>
      <c r="C33" s="4">
        <f t="shared" si="9"/>
        <v>7.4583407294636765E-155</v>
      </c>
      <c r="D33" s="4">
        <f t="shared" si="9"/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  <c r="H33" s="4">
        <f t="shared" si="9"/>
        <v>0</v>
      </c>
      <c r="I33" s="4">
        <f t="shared" si="10"/>
        <v>2.3283064365386963E-10</v>
      </c>
    </row>
    <row r="34" spans="1:9" x14ac:dyDescent="0.25">
      <c r="A34" s="2">
        <v>0.3</v>
      </c>
      <c r="B34" s="4">
        <f t="shared" si="8"/>
        <v>4.3046720999999984E-9</v>
      </c>
      <c r="C34" s="4">
        <f t="shared" si="9"/>
        <v>1.3900845177875802E-134</v>
      </c>
      <c r="D34" s="4">
        <f t="shared" si="9"/>
        <v>0</v>
      </c>
      <c r="E34" s="4">
        <f t="shared" si="9"/>
        <v>0</v>
      </c>
      <c r="F34" s="4">
        <f t="shared" si="9"/>
        <v>0</v>
      </c>
      <c r="G34" s="4">
        <f t="shared" si="9"/>
        <v>0</v>
      </c>
      <c r="H34" s="4">
        <f t="shared" si="9"/>
        <v>0</v>
      </c>
      <c r="I34" s="4">
        <f t="shared" si="10"/>
        <v>4.3046720999999984E-9</v>
      </c>
    </row>
    <row r="35" spans="1:9" x14ac:dyDescent="0.25">
      <c r="A35" s="2">
        <v>0.35</v>
      </c>
      <c r="B35" s="4">
        <f t="shared" si="8"/>
        <v>5.0709427749024904E-8</v>
      </c>
      <c r="C35" s="4">
        <f t="shared" si="9"/>
        <v>1.911698201816777E-117</v>
      </c>
      <c r="D35" s="4">
        <f t="shared" si="9"/>
        <v>0</v>
      </c>
      <c r="E35" s="4">
        <f t="shared" si="9"/>
        <v>0</v>
      </c>
      <c r="F35" s="4">
        <f t="shared" si="9"/>
        <v>0</v>
      </c>
      <c r="G35" s="4">
        <f t="shared" si="9"/>
        <v>0</v>
      </c>
      <c r="H35" s="4">
        <f t="shared" si="9"/>
        <v>0</v>
      </c>
      <c r="I35" s="4">
        <f t="shared" si="10"/>
        <v>5.0709427749024904E-8</v>
      </c>
    </row>
    <row r="36" spans="1:9" x14ac:dyDescent="0.25">
      <c r="A36" s="2">
        <v>0.4</v>
      </c>
      <c r="B36" s="4">
        <f t="shared" si="8"/>
        <v>4.2949672960000073E-7</v>
      </c>
      <c r="C36" s="4">
        <f t="shared" si="9"/>
        <v>1.3407802171333307E-102</v>
      </c>
      <c r="D36" s="4">
        <f t="shared" si="9"/>
        <v>0</v>
      </c>
      <c r="E36" s="4">
        <f t="shared" si="9"/>
        <v>0</v>
      </c>
      <c r="F36" s="4">
        <f t="shared" si="9"/>
        <v>0</v>
      </c>
      <c r="G36" s="4">
        <f t="shared" si="9"/>
        <v>0</v>
      </c>
      <c r="H36" s="4">
        <f t="shared" si="9"/>
        <v>0</v>
      </c>
      <c r="I36" s="4">
        <f t="shared" si="10"/>
        <v>4.2949672960000073E-7</v>
      </c>
    </row>
    <row r="37" spans="1:9" x14ac:dyDescent="0.25">
      <c r="A37" s="2">
        <v>0.45</v>
      </c>
      <c r="B37" s="4">
        <f t="shared" si="8"/>
        <v>2.8274844190244178E-6</v>
      </c>
      <c r="C37" s="4">
        <f t="shared" si="9"/>
        <v>1.6687923435093595E-89</v>
      </c>
      <c r="D37" s="4">
        <f t="shared" si="9"/>
        <v>0</v>
      </c>
      <c r="E37" s="4">
        <f t="shared" si="9"/>
        <v>0</v>
      </c>
      <c r="F37" s="4">
        <f t="shared" si="9"/>
        <v>0</v>
      </c>
      <c r="G37" s="4">
        <f t="shared" si="9"/>
        <v>0</v>
      </c>
      <c r="H37" s="4">
        <f t="shared" si="9"/>
        <v>0</v>
      </c>
      <c r="I37" s="4">
        <f t="shared" si="10"/>
        <v>2.8274844190244178E-6</v>
      </c>
    </row>
    <row r="38" spans="1:9" x14ac:dyDescent="0.25">
      <c r="A38" s="2">
        <v>0.5</v>
      </c>
      <c r="B38" s="4">
        <f t="shared" si="8"/>
        <v>1.52587890625E-5</v>
      </c>
      <c r="C38" s="4">
        <f t="shared" si="9"/>
        <v>8.6360367776201542E-78</v>
      </c>
      <c r="D38" s="4">
        <f t="shared" si="9"/>
        <v>0</v>
      </c>
      <c r="E38" s="4">
        <f t="shared" si="9"/>
        <v>0</v>
      </c>
      <c r="F38" s="4">
        <f t="shared" si="9"/>
        <v>0</v>
      </c>
      <c r="G38" s="4">
        <f t="shared" si="9"/>
        <v>0</v>
      </c>
      <c r="H38" s="4">
        <f t="shared" si="9"/>
        <v>0</v>
      </c>
      <c r="I38" s="4">
        <f t="shared" si="10"/>
        <v>1.52587890625E-5</v>
      </c>
    </row>
    <row r="39" spans="1:9" x14ac:dyDescent="0.25">
      <c r="A39" s="2">
        <v>0.55000000000000004</v>
      </c>
      <c r="B39" s="4">
        <f t="shared" si="8"/>
        <v>7.0113723546710527E-5</v>
      </c>
      <c r="C39" s="4">
        <f t="shared" si="9"/>
        <v>3.410500043886237E-67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  <c r="I39" s="4">
        <f t="shared" si="10"/>
        <v>7.0113723546710527E-5</v>
      </c>
    </row>
    <row r="40" spans="1:9" x14ac:dyDescent="0.25">
      <c r="A40" s="2">
        <v>0.6</v>
      </c>
      <c r="B40" s="4">
        <f t="shared" si="8"/>
        <v>2.8211099074559989E-4</v>
      </c>
      <c r="C40" s="4">
        <f t="shared" si="9"/>
        <v>1.6091538241567117E-57</v>
      </c>
      <c r="D40" s="4">
        <f t="shared" si="9"/>
        <v>0</v>
      </c>
      <c r="E40" s="4">
        <f t="shared" si="9"/>
        <v>0</v>
      </c>
      <c r="F40" s="4">
        <f t="shared" si="9"/>
        <v>0</v>
      </c>
      <c r="G40" s="4">
        <f t="shared" si="9"/>
        <v>0</v>
      </c>
      <c r="H40" s="4">
        <f t="shared" si="9"/>
        <v>0</v>
      </c>
      <c r="I40" s="4">
        <f t="shared" si="10"/>
        <v>2.8211099074559989E-4</v>
      </c>
    </row>
    <row r="41" spans="1:9" x14ac:dyDescent="0.25">
      <c r="A41" s="2">
        <v>0.65</v>
      </c>
      <c r="B41" s="4">
        <f t="shared" si="8"/>
        <v>1.0153451678210149E-3</v>
      </c>
      <c r="C41" s="4">
        <f t="shared" si="9"/>
        <v>1.2746123371271763E-48</v>
      </c>
      <c r="D41" s="4">
        <f t="shared" si="9"/>
        <v>0</v>
      </c>
      <c r="E41" s="4">
        <f t="shared" si="9"/>
        <v>0</v>
      </c>
      <c r="F41" s="4">
        <f t="shared" si="9"/>
        <v>0</v>
      </c>
      <c r="G41" s="4">
        <f t="shared" si="9"/>
        <v>0</v>
      </c>
      <c r="H41" s="4">
        <f t="shared" si="9"/>
        <v>0</v>
      </c>
      <c r="I41" s="4">
        <f t="shared" si="10"/>
        <v>1.0153451678210149E-3</v>
      </c>
    </row>
    <row r="42" spans="1:9" x14ac:dyDescent="0.25">
      <c r="A42" s="2">
        <v>0.7</v>
      </c>
      <c r="B42" s="4">
        <f t="shared" si="8"/>
        <v>3.3232930569600961E-3</v>
      </c>
      <c r="C42" s="4">
        <f t="shared" si="9"/>
        <v>2.2062389738221157E-40</v>
      </c>
      <c r="D42" s="4">
        <f t="shared" si="9"/>
        <v>0</v>
      </c>
      <c r="E42" s="4">
        <f t="shared" si="9"/>
        <v>0</v>
      </c>
      <c r="F42" s="4">
        <f t="shared" si="9"/>
        <v>0</v>
      </c>
      <c r="G42" s="4">
        <f t="shared" si="9"/>
        <v>0</v>
      </c>
      <c r="H42" s="4">
        <f t="shared" si="9"/>
        <v>0</v>
      </c>
      <c r="I42" s="4">
        <f t="shared" si="10"/>
        <v>3.3232930569600961E-3</v>
      </c>
    </row>
    <row r="43" spans="1:9" x14ac:dyDescent="0.25">
      <c r="A43" s="2">
        <v>0.75</v>
      </c>
      <c r="B43" s="4">
        <f t="shared" si="8"/>
        <v>1.0022595757618546E-2</v>
      </c>
      <c r="C43" s="4">
        <f t="shared" si="9"/>
        <v>1.0263812516641981E-32</v>
      </c>
      <c r="D43" s="4">
        <f t="shared" si="9"/>
        <v>0</v>
      </c>
      <c r="E43" s="4">
        <f t="shared" si="9"/>
        <v>0</v>
      </c>
      <c r="F43" s="4">
        <f t="shared" si="9"/>
        <v>0</v>
      </c>
      <c r="G43" s="4">
        <f t="shared" si="9"/>
        <v>0</v>
      </c>
      <c r="H43" s="4">
        <f t="shared" si="9"/>
        <v>0</v>
      </c>
      <c r="I43" s="4">
        <f t="shared" si="10"/>
        <v>1.0022595757618546E-2</v>
      </c>
    </row>
    <row r="44" spans="1:9" x14ac:dyDescent="0.25">
      <c r="A44" s="2">
        <v>0.8</v>
      </c>
      <c r="B44" s="4">
        <f t="shared" si="8"/>
        <v>2.8147497671065648E-2</v>
      </c>
      <c r="C44" s="4">
        <f t="shared" si="9"/>
        <v>1.5088185929134289E-25</v>
      </c>
      <c r="D44" s="4">
        <f t="shared" si="9"/>
        <v>0</v>
      </c>
      <c r="E44" s="4">
        <f t="shared" si="9"/>
        <v>0</v>
      </c>
      <c r="F44" s="4">
        <f t="shared" si="9"/>
        <v>0</v>
      </c>
      <c r="G44" s="4">
        <f t="shared" si="9"/>
        <v>0</v>
      </c>
      <c r="H44" s="4">
        <f t="shared" si="9"/>
        <v>0</v>
      </c>
      <c r="I44" s="4">
        <f t="shared" si="10"/>
        <v>2.8147497671065648E-2</v>
      </c>
    </row>
    <row r="45" spans="1:9" x14ac:dyDescent="0.25">
      <c r="A45" s="2">
        <v>0.85</v>
      </c>
      <c r="B45" s="4">
        <f t="shared" si="8"/>
        <v>7.4251086236063898E-2</v>
      </c>
      <c r="C45" s="4">
        <f t="shared" si="9"/>
        <v>7.9020212636807429E-19</v>
      </c>
      <c r="D45" s="4">
        <f t="shared" si="9"/>
        <v>2.3110593780783534E-290</v>
      </c>
      <c r="E45" s="4">
        <f t="shared" si="9"/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10"/>
        <v>7.4251086236063898E-2</v>
      </c>
    </row>
    <row r="46" spans="1:9" x14ac:dyDescent="0.25">
      <c r="A46" s="2">
        <v>0.9</v>
      </c>
      <c r="B46" s="4">
        <f t="shared" si="8"/>
        <v>0.18530201888518424</v>
      </c>
      <c r="C46" s="4">
        <f t="shared" si="9"/>
        <v>1.5742694096741287E-12</v>
      </c>
      <c r="D46" s="4">
        <f t="shared" si="9"/>
        <v>1.423196624456696E-189</v>
      </c>
      <c r="E46" s="4">
        <f t="shared" si="9"/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10"/>
        <v>0.18530201888675851</v>
      </c>
    </row>
    <row r="47" spans="1:9" x14ac:dyDescent="0.25">
      <c r="A47" s="2">
        <v>0.95</v>
      </c>
      <c r="B47" s="4">
        <f t="shared" si="8"/>
        <v>0.44012666865176564</v>
      </c>
      <c r="C47" s="4">
        <f t="shared" si="9"/>
        <v>1.1100249359499166E-6</v>
      </c>
      <c r="D47" s="4">
        <f t="shared" si="9"/>
        <v>5.312797688914419E-96</v>
      </c>
      <c r="E47" s="4">
        <f t="shared" si="9"/>
        <v>0</v>
      </c>
      <c r="F47" s="4">
        <f t="shared" si="9"/>
        <v>0</v>
      </c>
      <c r="G47" s="4">
        <f t="shared" si="9"/>
        <v>0</v>
      </c>
      <c r="H47" s="4">
        <f t="shared" si="9"/>
        <v>0</v>
      </c>
      <c r="I47" s="4">
        <f t="shared" si="10"/>
        <v>0.44012777867670161</v>
      </c>
    </row>
    <row r="48" spans="1:9" x14ac:dyDescent="0.25">
      <c r="A48" s="35">
        <v>0.999</v>
      </c>
      <c r="B48" s="36">
        <f t="shared" si="8"/>
        <v>0.98411944181564015</v>
      </c>
      <c r="C48" s="36">
        <f t="shared" si="9"/>
        <v>1.2292232022100238E-2</v>
      </c>
      <c r="D48" s="36">
        <f t="shared" si="9"/>
        <v>2.6836165182767568E-31</v>
      </c>
      <c r="E48" s="36">
        <f t="shared" si="9"/>
        <v>0</v>
      </c>
      <c r="F48" s="36">
        <f t="shared" si="9"/>
        <v>0</v>
      </c>
      <c r="G48" s="36">
        <f t="shared" si="9"/>
        <v>0</v>
      </c>
      <c r="H48" s="36">
        <f t="shared" si="9"/>
        <v>0</v>
      </c>
      <c r="I48" s="36">
        <f t="shared" si="10"/>
        <v>0.99641167383774043</v>
      </c>
    </row>
    <row r="49" spans="2:9" x14ac:dyDescent="0.25">
      <c r="B49" s="34" t="s">
        <v>10</v>
      </c>
      <c r="C49" s="4">
        <f>SUM(C28:C48)</f>
        <v>1.2293342048610458E-2</v>
      </c>
      <c r="D49" s="4">
        <f>SUM(D28:D48)</f>
        <v>2.6836165182767568E-31</v>
      </c>
      <c r="E49" s="4">
        <f t="shared" ref="E49" si="11">SUM(E28:E48)</f>
        <v>0</v>
      </c>
      <c r="F49" s="4">
        <f t="shared" ref="F49" si="12">SUM(F28:F48)</f>
        <v>0</v>
      </c>
      <c r="G49" s="4">
        <f t="shared" ref="G49" si="13">SUM(G28:G48)</f>
        <v>0</v>
      </c>
      <c r="H49" s="4">
        <f t="shared" ref="H49" si="14">SUM(H28:H48)</f>
        <v>0</v>
      </c>
      <c r="I49">
        <f>SUM(C49:H49)</f>
        <v>1.2293342048610458E-2</v>
      </c>
    </row>
  </sheetData>
  <conditionalFormatting sqref="B3:H2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{67962E4E-2E39-49CB-A6B9-1DF376F58D84}</x14:id>
        </ext>
      </extLst>
    </cfRule>
  </conditionalFormatting>
  <conditionalFormatting sqref="I3:I23">
    <cfRule type="colorScale" priority="3">
      <colorScale>
        <cfvo type="min"/>
        <cfvo type="num" val="0.05"/>
        <cfvo type="max"/>
        <color rgb="FF00B050"/>
        <color rgb="FFFF0000"/>
        <color rgb="FFC00000"/>
      </colorScale>
    </cfRule>
  </conditionalFormatting>
  <conditionalFormatting sqref="B28:H4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{6380D47B-1091-4BCD-BFAB-50421681BBD0}</x14:id>
        </ext>
      </extLst>
    </cfRule>
  </conditionalFormatting>
  <conditionalFormatting sqref="I28:I48">
    <cfRule type="colorScale" priority="1">
      <colorScale>
        <cfvo type="min"/>
        <cfvo type="num" val="0.05"/>
        <cfvo type="max"/>
        <color rgb="FF00B050"/>
        <color rgb="FFFF0000"/>
        <color rgb="FFC00000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962E4E-2E39-49CB-A6B9-1DF376F58D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B3:H23</xm:sqref>
        </x14:conditionalFormatting>
        <x14:conditionalFormatting xmlns:xm="http://schemas.microsoft.com/office/excel/2006/main">
          <x14:cfRule type="dataBar" id="{6380D47B-1091-4BCD-BFAB-50421681BB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B28:H48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J7" sqref="J7"/>
    </sheetView>
  </sheetViews>
  <sheetFormatPr defaultRowHeight="15" x14ac:dyDescent="0.25"/>
  <cols>
    <col min="1" max="1" width="11.140625" bestFit="1" customWidth="1"/>
    <col min="2" max="2" width="11.7109375" customWidth="1"/>
  </cols>
  <sheetData>
    <row r="1" spans="1:3" x14ac:dyDescent="0.25">
      <c r="A1" t="s">
        <v>12</v>
      </c>
      <c r="B1" t="s">
        <v>13</v>
      </c>
      <c r="C1" t="s">
        <v>14</v>
      </c>
    </row>
    <row r="2" spans="1:3" x14ac:dyDescent="0.25">
      <c r="A2">
        <v>8</v>
      </c>
      <c r="B2">
        <v>2.4E-2</v>
      </c>
    </row>
    <row r="3" spans="1:3" x14ac:dyDescent="0.25">
      <c r="A3">
        <v>50</v>
      </c>
      <c r="B3">
        <v>3.3000000000000002E-2</v>
      </c>
      <c r="C3" s="10" t="s">
        <v>15</v>
      </c>
    </row>
    <row r="4" spans="1:3" x14ac:dyDescent="0.25">
      <c r="A4">
        <v>100</v>
      </c>
      <c r="B4">
        <v>4.4999999999999998E-2</v>
      </c>
    </row>
    <row r="21" spans="1:2" x14ac:dyDescent="0.25">
      <c r="A21" t="s">
        <v>16</v>
      </c>
      <c r="B21">
        <v>2.1999999999999999E-2</v>
      </c>
    </row>
    <row r="22" spans="1:2" x14ac:dyDescent="0.25">
      <c r="A22" t="s">
        <v>17</v>
      </c>
      <c r="B22">
        <v>2.0000000000000001E-4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activeCell="A4" sqref="A4"/>
    </sheetView>
  </sheetViews>
  <sheetFormatPr defaultRowHeight="15" x14ac:dyDescent="0.25"/>
  <cols>
    <col min="1" max="1" width="15.28515625" customWidth="1"/>
  </cols>
  <sheetData>
    <row r="1" spans="1:10" x14ac:dyDescent="0.25">
      <c r="A1" t="s">
        <v>18</v>
      </c>
    </row>
    <row r="3" spans="1:10" x14ac:dyDescent="0.25">
      <c r="A3" s="9">
        <v>7</v>
      </c>
      <c r="B3" t="s">
        <v>12</v>
      </c>
    </row>
    <row r="4" spans="1:10" x14ac:dyDescent="0.25">
      <c r="A4" s="9">
        <v>2</v>
      </c>
      <c r="B4" t="s">
        <v>19</v>
      </c>
    </row>
    <row r="5" spans="1:10" x14ac:dyDescent="0.25">
      <c r="A5" s="9">
        <v>2</v>
      </c>
      <c r="B5" t="s">
        <v>20</v>
      </c>
    </row>
    <row r="7" spans="1:10" x14ac:dyDescent="0.25">
      <c r="A7" s="9">
        <v>4</v>
      </c>
      <c r="B7" t="s">
        <v>21</v>
      </c>
    </row>
    <row r="8" spans="1:10" x14ac:dyDescent="0.25">
      <c r="A8" s="9">
        <v>2</v>
      </c>
      <c r="B8" t="s">
        <v>22</v>
      </c>
      <c r="I8" s="1" t="s">
        <v>23</v>
      </c>
      <c r="J8">
        <f>(5*A5)*(A7*A10 + A8*A11)+A4*A13*A15</f>
        <v>7.1207999999999994E-2</v>
      </c>
    </row>
    <row r="9" spans="1:10" x14ac:dyDescent="0.25">
      <c r="I9" s="1" t="s">
        <v>24</v>
      </c>
      <c r="J9">
        <f>A20</f>
        <v>7.6343999999999995E-2</v>
      </c>
    </row>
    <row r="10" spans="1:10" x14ac:dyDescent="0.25">
      <c r="A10" s="9">
        <f>2.46/10000</f>
        <v>2.4600000000000002E-4</v>
      </c>
      <c r="B10" t="s">
        <v>25</v>
      </c>
      <c r="I10" s="11" t="s">
        <v>26</v>
      </c>
      <c r="J10" s="10">
        <f>100*(J9/J8-1)</f>
        <v>7.2126727334007379</v>
      </c>
    </row>
    <row r="11" spans="1:10" x14ac:dyDescent="0.25">
      <c r="A11" s="9">
        <f>1.5/10000</f>
        <v>1.4999999999999999E-4</v>
      </c>
      <c r="B11" t="s">
        <v>27</v>
      </c>
    </row>
    <row r="13" spans="1:10" x14ac:dyDescent="0.25">
      <c r="A13" s="9">
        <v>128</v>
      </c>
      <c r="B13" t="s">
        <v>28</v>
      </c>
    </row>
    <row r="15" spans="1:10" x14ac:dyDescent="0.25">
      <c r="A15" s="9">
        <f>2.28/10000</f>
        <v>2.2799999999999999E-4</v>
      </c>
      <c r="B15" t="s">
        <v>29</v>
      </c>
    </row>
    <row r="17" spans="1:2" x14ac:dyDescent="0.25">
      <c r="A17" s="12">
        <f>(A3*A5)*(A7*A10 + A8*A11)</f>
        <v>1.7975999999999999E-2</v>
      </c>
      <c r="B17" t="s">
        <v>30</v>
      </c>
    </row>
    <row r="18" spans="1:2" x14ac:dyDescent="0.25">
      <c r="A18">
        <f>A4*A13*A15</f>
        <v>5.8367999999999996E-2</v>
      </c>
      <c r="B18" t="s">
        <v>31</v>
      </c>
    </row>
    <row r="20" spans="1:2" x14ac:dyDescent="0.25">
      <c r="A20" s="13">
        <f>SUM(A17:A18)</f>
        <v>7.6343999999999995E-2</v>
      </c>
      <c r="B20" s="10" t="s">
        <v>32</v>
      </c>
    </row>
    <row r="21" spans="1:2" x14ac:dyDescent="0.25">
      <c r="A21" s="13">
        <f>A20*1000</f>
        <v>76.343999999999994</v>
      </c>
      <c r="B21" s="10" t="s">
        <v>33</v>
      </c>
    </row>
    <row r="22" spans="1:2" x14ac:dyDescent="0.25">
      <c r="A22">
        <f>A20*10000</f>
        <v>763.43999999999994</v>
      </c>
      <c r="B22" s="10" t="s">
        <v>34</v>
      </c>
    </row>
    <row r="23" spans="1:2" x14ac:dyDescent="0.25">
      <c r="A23">
        <f>A22/60</f>
        <v>12.723999999999998</v>
      </c>
      <c r="B23" s="10" t="s">
        <v>35</v>
      </c>
    </row>
    <row r="25" spans="1:2" x14ac:dyDescent="0.25">
      <c r="A25">
        <f>A17/A20</f>
        <v>0.23546054699779945</v>
      </c>
      <c r="B25" t="s">
        <v>36</v>
      </c>
    </row>
    <row r="26" spans="1:2" x14ac:dyDescent="0.25">
      <c r="A26">
        <f>A18/A20</f>
        <v>0.76453945300220061</v>
      </c>
      <c r="B26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0"/>
  <sheetViews>
    <sheetView tabSelected="1" workbookViewId="0">
      <selection activeCell="J20" sqref="J20"/>
    </sheetView>
  </sheetViews>
  <sheetFormatPr defaultRowHeight="15" x14ac:dyDescent="0.25"/>
  <cols>
    <col min="1" max="1" width="13.42578125" style="14" bestFit="1" customWidth="1"/>
    <col min="2" max="2" width="42.5703125" customWidth="1"/>
    <col min="3" max="3" width="12.140625" bestFit="1" customWidth="1"/>
    <col min="4" max="4" width="11.7109375" bestFit="1" customWidth="1"/>
  </cols>
  <sheetData>
    <row r="1" spans="1:5" x14ac:dyDescent="0.25">
      <c r="A1" s="45" t="s">
        <v>38</v>
      </c>
      <c r="B1" s="46"/>
    </row>
    <row r="2" spans="1:5" x14ac:dyDescent="0.25">
      <c r="A2" s="19">
        <v>17</v>
      </c>
      <c r="B2" s="20" t="s">
        <v>89</v>
      </c>
      <c r="D2">
        <f>(A6*A5)/(A6*C9)*100</f>
        <v>0.46099290780141844</v>
      </c>
    </row>
    <row r="3" spans="1:5" x14ac:dyDescent="0.25">
      <c r="A3" s="19">
        <v>2</v>
      </c>
      <c r="B3" s="20" t="s">
        <v>20</v>
      </c>
    </row>
    <row r="4" spans="1:5" x14ac:dyDescent="0.25">
      <c r="A4" s="19">
        <v>2</v>
      </c>
      <c r="B4" s="20" t="s">
        <v>19</v>
      </c>
      <c r="C4" s="37"/>
      <c r="D4" s="37"/>
      <c r="E4" s="37"/>
    </row>
    <row r="5" spans="1:5" x14ac:dyDescent="0.25">
      <c r="A5" s="21">
        <v>0.65</v>
      </c>
      <c r="B5" s="20" t="s">
        <v>39</v>
      </c>
      <c r="C5" s="37"/>
      <c r="D5" s="37"/>
      <c r="E5" s="37"/>
    </row>
    <row r="6" spans="1:5" x14ac:dyDescent="0.25">
      <c r="A6" s="21">
        <v>25000</v>
      </c>
      <c r="B6" s="20" t="s">
        <v>40</v>
      </c>
      <c r="C6" s="37"/>
      <c r="D6" s="39">
        <v>4.5298999999999999E-3</v>
      </c>
      <c r="E6" s="37"/>
    </row>
    <row r="7" spans="1:5" x14ac:dyDescent="0.25">
      <c r="A7" s="19">
        <v>15</v>
      </c>
      <c r="B7" s="20" t="s">
        <v>90</v>
      </c>
      <c r="C7" s="38">
        <v>43196</v>
      </c>
      <c r="D7" s="37">
        <f>D6*A6*C9</f>
        <v>15967.897500000001</v>
      </c>
      <c r="E7" s="37"/>
    </row>
    <row r="8" spans="1:5" x14ac:dyDescent="0.25">
      <c r="A8" s="22"/>
      <c r="B8" s="20"/>
      <c r="C8" s="38">
        <v>43337</v>
      </c>
      <c r="D8" s="37"/>
      <c r="E8" s="37"/>
    </row>
    <row r="9" spans="1:5" x14ac:dyDescent="0.25">
      <c r="A9" s="48" t="s">
        <v>41</v>
      </c>
      <c r="B9" s="49"/>
      <c r="C9" s="37">
        <f>C8-C7</f>
        <v>141</v>
      </c>
      <c r="D9" s="37"/>
      <c r="E9" s="37"/>
    </row>
    <row r="10" spans="1:5" x14ac:dyDescent="0.25">
      <c r="A10" s="27">
        <f>(A6*A5)/(1-A5)</f>
        <v>46428.571428571435</v>
      </c>
      <c r="B10" s="20" t="s">
        <v>42</v>
      </c>
      <c r="C10" s="37"/>
      <c r="D10" s="37"/>
      <c r="E10" s="37"/>
    </row>
    <row r="11" spans="1:5" x14ac:dyDescent="0.25">
      <c r="A11" s="22">
        <f>SUM(A31:A36)</f>
        <v>1.0153451678210149E-3</v>
      </c>
      <c r="B11" s="20" t="s">
        <v>43</v>
      </c>
      <c r="C11" s="37"/>
      <c r="D11" s="37"/>
      <c r="E11" s="37"/>
    </row>
    <row r="12" spans="1:5" x14ac:dyDescent="0.25">
      <c r="A12" s="23">
        <f>A11*A6*A3</f>
        <v>50.767258391050746</v>
      </c>
      <c r="B12" s="20" t="s">
        <v>85</v>
      </c>
      <c r="C12" s="40">
        <f>A12*C9</f>
        <v>7158.1834331381551</v>
      </c>
      <c r="D12" s="37">
        <f>100*C12/(A6*C9)</f>
        <v>0.203069033564203</v>
      </c>
      <c r="E12" s="37"/>
    </row>
    <row r="13" spans="1:5" x14ac:dyDescent="0.25">
      <c r="A13" s="23">
        <f>A6*C37*A3</f>
        <v>120.15919145810827</v>
      </c>
      <c r="B13" s="20" t="s">
        <v>86</v>
      </c>
      <c r="C13" s="32">
        <f>A13*C9</f>
        <v>16942.445995593265</v>
      </c>
      <c r="D13">
        <f>100*C13/(A6*C9)</f>
        <v>0.48063676583243303</v>
      </c>
    </row>
    <row r="14" spans="1:5" x14ac:dyDescent="0.25">
      <c r="A14" s="23">
        <f>A13-A12</f>
        <v>69.391933067057522</v>
      </c>
      <c r="B14" s="20" t="s">
        <v>87</v>
      </c>
      <c r="C14" s="32">
        <f>C13-C12</f>
        <v>9784.262562455111</v>
      </c>
      <c r="D14">
        <f>1-8/C14</f>
        <v>0.99918236045394992</v>
      </c>
    </row>
    <row r="15" spans="1:5" x14ac:dyDescent="0.25">
      <c r="A15" s="33">
        <f>(1-(A12/A13))*100</f>
        <v>57.749999999999993</v>
      </c>
      <c r="B15" s="25" t="s">
        <v>88</v>
      </c>
      <c r="C15" s="32">
        <f>A13-A12</f>
        <v>69.391933067057522</v>
      </c>
      <c r="D15">
        <f>1-8/C15</f>
        <v>0.88471282400694717</v>
      </c>
    </row>
    <row r="16" spans="1:5" x14ac:dyDescent="0.25">
      <c r="A16" s="22">
        <f>SUM(A60:A69)</f>
        <v>15132</v>
      </c>
      <c r="B16" s="20" t="s">
        <v>44</v>
      </c>
    </row>
    <row r="17" spans="1:2" x14ac:dyDescent="0.25">
      <c r="A17" s="24">
        <f>100*(A16/A70-1)</f>
        <v>1.8030139935414358</v>
      </c>
      <c r="B17" s="25" t="s">
        <v>45</v>
      </c>
    </row>
    <row r="18" spans="1:2" x14ac:dyDescent="0.25">
      <c r="A18" s="22">
        <f>((A2*A4)*(A44*A46 + A45*A47)+A3*A48*A49)*1000</f>
        <v>102.024</v>
      </c>
      <c r="B18" s="20" t="s">
        <v>46</v>
      </c>
    </row>
    <row r="19" spans="1:2" x14ac:dyDescent="0.25">
      <c r="A19" s="26">
        <f>100*(A18/A50)-100</f>
        <v>5.3009660639088452</v>
      </c>
      <c r="B19" s="20" t="s">
        <v>47</v>
      </c>
    </row>
    <row r="20" spans="1:2" x14ac:dyDescent="0.25">
      <c r="A20" s="22"/>
      <c r="B20" s="20"/>
    </row>
    <row r="21" spans="1:2" x14ac:dyDescent="0.25">
      <c r="A21" s="48" t="s">
        <v>48</v>
      </c>
      <c r="B21" s="49"/>
    </row>
    <row r="22" spans="1:2" x14ac:dyDescent="0.25">
      <c r="A22" s="27">
        <f>ROUNDUP(LOG(A55,A2),0)-1</f>
        <v>3</v>
      </c>
      <c r="B22" s="20" t="s">
        <v>49</v>
      </c>
    </row>
    <row r="23" spans="1:2" x14ac:dyDescent="0.25">
      <c r="A23" s="28">
        <f>ROUNDUP(LOG(A56,A2),0)-1</f>
        <v>6</v>
      </c>
      <c r="B23" s="25" t="s">
        <v>50</v>
      </c>
    </row>
    <row r="24" spans="1:2" x14ac:dyDescent="0.25">
      <c r="A24" s="23">
        <f>(A53-A22)*A57</f>
        <v>20</v>
      </c>
      <c r="B24" s="20" t="s">
        <v>51</v>
      </c>
    </row>
    <row r="25" spans="1:2" x14ac:dyDescent="0.25">
      <c r="A25" s="29">
        <f>(A54-A23)*A57</f>
        <v>0</v>
      </c>
      <c r="B25" s="25" t="s">
        <v>52</v>
      </c>
    </row>
    <row r="26" spans="1:2" x14ac:dyDescent="0.25">
      <c r="A26" s="26">
        <f>100*(1-(A22*A16)/(A53*A70))</f>
        <v>23.647739504843923</v>
      </c>
      <c r="B26" s="20" t="s">
        <v>53</v>
      </c>
    </row>
    <row r="27" spans="1:2" ht="15.75" thickBot="1" x14ac:dyDescent="0.3">
      <c r="A27" s="30">
        <f>100*(1-(A23*A16)/(A54*A70))</f>
        <v>-1.8030139935414358</v>
      </c>
      <c r="B27" s="31" t="s">
        <v>54</v>
      </c>
    </row>
    <row r="29" spans="1:2" x14ac:dyDescent="0.25">
      <c r="A29" s="47" t="s">
        <v>55</v>
      </c>
      <c r="B29" s="47"/>
    </row>
    <row r="30" spans="1:2" x14ac:dyDescent="0.25">
      <c r="A30" s="44" t="s">
        <v>56</v>
      </c>
      <c r="B30" s="44"/>
    </row>
    <row r="31" spans="1:2" x14ac:dyDescent="0.25">
      <c r="A31" s="1">
        <f>(A5)^(A2-1)</f>
        <v>1.0153451678210149E-3</v>
      </c>
      <c r="B31" s="16" t="s">
        <v>57</v>
      </c>
    </row>
    <row r="32" spans="1:2" x14ac:dyDescent="0.25">
      <c r="A32" s="1">
        <f>(A31^($A$2-1))*(1-A31)</f>
        <v>1.2746123371271763E-48</v>
      </c>
      <c r="B32" s="16" t="s">
        <v>58</v>
      </c>
    </row>
    <row r="33" spans="1:3" x14ac:dyDescent="0.25">
      <c r="A33" s="1">
        <f t="shared" ref="A33:A35" si="0">(A32^($A$2-1))*(1-A32)</f>
        <v>0</v>
      </c>
      <c r="B33" s="16" t="s">
        <v>59</v>
      </c>
    </row>
    <row r="34" spans="1:3" x14ac:dyDescent="0.25">
      <c r="A34" s="1">
        <f t="shared" si="0"/>
        <v>0</v>
      </c>
      <c r="B34" s="16" t="s">
        <v>60</v>
      </c>
    </row>
    <row r="35" spans="1:3" x14ac:dyDescent="0.25">
      <c r="A35" s="1">
        <f t="shared" si="0"/>
        <v>0</v>
      </c>
      <c r="B35" s="16" t="s">
        <v>61</v>
      </c>
    </row>
    <row r="36" spans="1:3" x14ac:dyDescent="0.25">
      <c r="A36" s="17">
        <f>(A35^($A$2-1))*(1-A35)</f>
        <v>0</v>
      </c>
      <c r="B36" s="18" t="s">
        <v>62</v>
      </c>
    </row>
    <row r="37" spans="1:3" x14ac:dyDescent="0.25">
      <c r="A37" s="1">
        <f>(A5)^(A7-1)</f>
        <v>2.4031838291621653E-3</v>
      </c>
      <c r="B37" s="16" t="s">
        <v>63</v>
      </c>
      <c r="C37">
        <f>SUM(A37:A42)</f>
        <v>2.4031838291621653E-3</v>
      </c>
    </row>
    <row r="38" spans="1:3" x14ac:dyDescent="0.25">
      <c r="A38" s="1">
        <f>(A37^($A$2-1))*(1-A37)</f>
        <v>1.2346587608919281E-42</v>
      </c>
      <c r="B38" s="16" t="s">
        <v>58</v>
      </c>
    </row>
    <row r="39" spans="1:3" x14ac:dyDescent="0.25">
      <c r="A39" s="1">
        <f t="shared" ref="A39:A42" si="1">(A38^($A$2-1))*(1-A38)</f>
        <v>0</v>
      </c>
      <c r="B39" s="16" t="s">
        <v>59</v>
      </c>
    </row>
    <row r="40" spans="1:3" x14ac:dyDescent="0.25">
      <c r="A40" s="1">
        <f t="shared" si="1"/>
        <v>0</v>
      </c>
      <c r="B40" s="16" t="s">
        <v>60</v>
      </c>
    </row>
    <row r="41" spans="1:3" x14ac:dyDescent="0.25">
      <c r="A41" s="1">
        <f t="shared" si="1"/>
        <v>0</v>
      </c>
      <c r="B41" s="16" t="s">
        <v>61</v>
      </c>
    </row>
    <row r="42" spans="1:3" x14ac:dyDescent="0.25">
      <c r="A42" s="1">
        <f t="shared" si="1"/>
        <v>0</v>
      </c>
      <c r="B42" s="16" t="s">
        <v>62</v>
      </c>
    </row>
    <row r="43" spans="1:3" x14ac:dyDescent="0.25">
      <c r="A43" s="44" t="s">
        <v>64</v>
      </c>
      <c r="B43" s="50"/>
    </row>
    <row r="44" spans="1:3" x14ac:dyDescent="0.25">
      <c r="A44" s="15">
        <v>4</v>
      </c>
      <c r="B44" t="s">
        <v>21</v>
      </c>
    </row>
    <row r="45" spans="1:3" x14ac:dyDescent="0.25">
      <c r="A45" s="15">
        <v>2</v>
      </c>
      <c r="B45" t="s">
        <v>22</v>
      </c>
    </row>
    <row r="46" spans="1:3" x14ac:dyDescent="0.25">
      <c r="A46" s="15">
        <f>2.46/10000</f>
        <v>2.4600000000000002E-4</v>
      </c>
      <c r="B46" t="s">
        <v>25</v>
      </c>
    </row>
    <row r="47" spans="1:3" x14ac:dyDescent="0.25">
      <c r="A47" s="15">
        <f>1.5/10000</f>
        <v>1.4999999999999999E-4</v>
      </c>
      <c r="B47" t="s">
        <v>27</v>
      </c>
    </row>
    <row r="48" spans="1:3" x14ac:dyDescent="0.25">
      <c r="A48" s="15">
        <v>128</v>
      </c>
      <c r="B48" t="s">
        <v>28</v>
      </c>
    </row>
    <row r="49" spans="1:2" x14ac:dyDescent="0.25">
      <c r="A49" s="15">
        <f>2.28/10000</f>
        <v>2.2799999999999999E-4</v>
      </c>
      <c r="B49" t="s">
        <v>29</v>
      </c>
    </row>
    <row r="50" spans="1:2" x14ac:dyDescent="0.25">
      <c r="A50" s="15">
        <f>((A7*A4)*(A44*A46 + A45*A47)+A3*A48*A49)*1000</f>
        <v>96.888000000000005</v>
      </c>
      <c r="B50" t="s">
        <v>65</v>
      </c>
    </row>
    <row r="51" spans="1:2" x14ac:dyDescent="0.25">
      <c r="A51" s="15">
        <f>A70</f>
        <v>14864</v>
      </c>
      <c r="B51" t="s">
        <v>66</v>
      </c>
    </row>
    <row r="52" spans="1:2" x14ac:dyDescent="0.25">
      <c r="A52" s="43" t="s">
        <v>48</v>
      </c>
      <c r="B52" s="43"/>
    </row>
    <row r="53" spans="1:2" x14ac:dyDescent="0.25">
      <c r="A53" s="14">
        <f>ROUNDUP(LOG(A55,A7),0)-1</f>
        <v>4</v>
      </c>
      <c r="B53" t="s">
        <v>67</v>
      </c>
    </row>
    <row r="54" spans="1:2" x14ac:dyDescent="0.25">
      <c r="A54" s="14">
        <f>ROUNDUP(LOG(A56,A7),0)-1</f>
        <v>6</v>
      </c>
      <c r="B54" t="s">
        <v>68</v>
      </c>
    </row>
    <row r="55" spans="1:2" x14ac:dyDescent="0.25">
      <c r="A55" s="15">
        <v>73000</v>
      </c>
      <c r="B55" t="s">
        <v>69</v>
      </c>
    </row>
    <row r="56" spans="1:2" x14ac:dyDescent="0.25">
      <c r="A56" s="15">
        <v>25000000</v>
      </c>
      <c r="B56" t="s">
        <v>70</v>
      </c>
    </row>
    <row r="57" spans="1:2" x14ac:dyDescent="0.25">
      <c r="A57" s="15">
        <v>20</v>
      </c>
      <c r="B57" t="s">
        <v>71</v>
      </c>
    </row>
    <row r="58" spans="1:2" x14ac:dyDescent="0.25">
      <c r="A58" s="43" t="s">
        <v>72</v>
      </c>
      <c r="B58" s="43"/>
    </row>
    <row r="59" spans="1:2" x14ac:dyDescent="0.25">
      <c r="A59" s="14">
        <f>3*A2</f>
        <v>51</v>
      </c>
      <c r="B59" t="s">
        <v>73</v>
      </c>
    </row>
    <row r="60" spans="1:2" x14ac:dyDescent="0.25">
      <c r="A60" s="14">
        <f>1+1</f>
        <v>2</v>
      </c>
      <c r="B60" t="s">
        <v>74</v>
      </c>
    </row>
    <row r="61" spans="1:2" x14ac:dyDescent="0.25">
      <c r="A61" s="14">
        <f>A3*(1+1+1+A59+32)</f>
        <v>172</v>
      </c>
      <c r="B61" t="s">
        <v>75</v>
      </c>
    </row>
    <row r="62" spans="1:2" x14ac:dyDescent="0.25">
      <c r="A62" s="14">
        <f>A4*(1+1+32)</f>
        <v>68</v>
      </c>
      <c r="B62" t="s">
        <v>76</v>
      </c>
    </row>
    <row r="63" spans="1:2" x14ac:dyDescent="0.25">
      <c r="A63" s="14">
        <f>32+4</f>
        <v>36</v>
      </c>
      <c r="B63" t="s">
        <v>77</v>
      </c>
    </row>
    <row r="64" spans="1:2" x14ac:dyDescent="0.25">
      <c r="A64" s="14">
        <f>1+5</f>
        <v>6</v>
      </c>
      <c r="B64" t="s">
        <v>78</v>
      </c>
    </row>
    <row r="65" spans="1:2" x14ac:dyDescent="0.25">
      <c r="A65" s="14">
        <f>IF(A3&gt;1,A3*32,0)</f>
        <v>64</v>
      </c>
      <c r="B65" t="s">
        <v>79</v>
      </c>
    </row>
    <row r="66" spans="1:2" x14ac:dyDescent="0.25">
      <c r="A66" s="14">
        <f>A4*64</f>
        <v>128</v>
      </c>
      <c r="B66" t="s">
        <v>80</v>
      </c>
    </row>
    <row r="67" spans="1:2" x14ac:dyDescent="0.25">
      <c r="A67" s="14">
        <f>A4*32</f>
        <v>64</v>
      </c>
      <c r="B67" t="s">
        <v>81</v>
      </c>
    </row>
    <row r="68" spans="1:2" x14ac:dyDescent="0.25">
      <c r="A68" s="14">
        <f>A4*6176</f>
        <v>12352</v>
      </c>
      <c r="B68" t="s">
        <v>82</v>
      </c>
    </row>
    <row r="69" spans="1:2" x14ac:dyDescent="0.25">
      <c r="A69" s="14">
        <f>A3*((64*A2)+32)</f>
        <v>2240</v>
      </c>
      <c r="B69" t="s">
        <v>83</v>
      </c>
    </row>
    <row r="70" spans="1:2" x14ac:dyDescent="0.25">
      <c r="A70" s="14">
        <f>1+1+A3*(1+1+1+(3*A7)+32)+A4*(1+1+32)+32+4+1+5+IF(A3&gt;1,A3*32,0)+A4*64+A4*32+A4*6176+A3*((64*A7)+32)</f>
        <v>14864</v>
      </c>
      <c r="B70" t="s">
        <v>84</v>
      </c>
    </row>
  </sheetData>
  <dataConsolidate/>
  <mergeCells count="8">
    <mergeCell ref="A58:B58"/>
    <mergeCell ref="A30:B30"/>
    <mergeCell ref="A1:B1"/>
    <mergeCell ref="A29:B29"/>
    <mergeCell ref="A9:B9"/>
    <mergeCell ref="A21:B21"/>
    <mergeCell ref="A43:B43"/>
    <mergeCell ref="A52:B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 Revealed</vt:lpstr>
      <vt:lpstr>Fee &amp; Size</vt:lpstr>
      <vt:lpstr>Verification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Ehrenhofer</dc:creator>
  <cp:keywords/>
  <dc:description/>
  <cp:lastModifiedBy>Justin Ehrenhofer</cp:lastModifiedBy>
  <cp:revision/>
  <dcterms:created xsi:type="dcterms:W3CDTF">2018-02-17T19:48:47Z</dcterms:created>
  <dcterms:modified xsi:type="dcterms:W3CDTF">2020-12-29T16:45:18Z</dcterms:modified>
  <cp:category/>
  <cp:contentStatus/>
</cp:coreProperties>
</file>